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cav-my.sharepoint.com/personal/eje_eje_cz/Documents/Docs/_Export/"/>
    </mc:Choice>
  </mc:AlternateContent>
  <xr:revisionPtr revIDLastSave="1518" documentId="8_{8F511272-DE7B-471E-BBD0-C9B1A094B603}" xr6:coauthVersionLast="47" xr6:coauthVersionMax="47" xr10:uidLastSave="{DBB3E3B5-70E0-4CCA-97BD-FEB7D13535C3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7" i="1" l="1"/>
  <c r="H177" i="1"/>
  <c r="L176" i="1"/>
  <c r="H176" i="1"/>
  <c r="L175" i="1"/>
  <c r="H175" i="1"/>
  <c r="L174" i="1"/>
  <c r="H174" i="1"/>
  <c r="L173" i="1"/>
  <c r="H173" i="1"/>
  <c r="L172" i="1"/>
  <c r="H172" i="1"/>
  <c r="L171" i="1"/>
  <c r="H171" i="1"/>
  <c r="L170" i="1"/>
  <c r="H170" i="1"/>
  <c r="L169" i="1"/>
  <c r="H169" i="1"/>
  <c r="L168" i="1"/>
  <c r="H168" i="1"/>
  <c r="L167" i="1"/>
  <c r="H167" i="1"/>
  <c r="L166" i="1"/>
  <c r="H166" i="1"/>
  <c r="L165" i="1"/>
  <c r="H165" i="1"/>
  <c r="L164" i="1"/>
  <c r="H164" i="1"/>
  <c r="L163" i="1"/>
  <c r="H163" i="1"/>
  <c r="L162" i="1"/>
  <c r="H162" i="1"/>
  <c r="L161" i="1"/>
  <c r="H161" i="1"/>
  <c r="L160" i="1"/>
  <c r="H160" i="1"/>
  <c r="L159" i="1"/>
  <c r="H159" i="1"/>
  <c r="L158" i="1"/>
  <c r="H158" i="1"/>
  <c r="L157" i="1"/>
  <c r="H157" i="1"/>
  <c r="L156" i="1"/>
  <c r="H156" i="1"/>
  <c r="L155" i="1"/>
  <c r="H155" i="1"/>
  <c r="L154" i="1"/>
  <c r="H154" i="1"/>
  <c r="L153" i="1"/>
  <c r="H153" i="1"/>
  <c r="L152" i="1"/>
  <c r="H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L140" i="1"/>
  <c r="H140" i="1"/>
  <c r="L139" i="1"/>
  <c r="H139" i="1"/>
  <c r="L138" i="1"/>
  <c r="H138" i="1"/>
  <c r="L137" i="1"/>
  <c r="H137" i="1"/>
  <c r="L136" i="1"/>
  <c r="H136" i="1"/>
  <c r="L135" i="1"/>
  <c r="H135" i="1"/>
  <c r="L134" i="1"/>
  <c r="H134" i="1"/>
  <c r="L133" i="1"/>
  <c r="H133" i="1"/>
  <c r="L132" i="1"/>
  <c r="H132" i="1"/>
  <c r="L131" i="1"/>
  <c r="H131" i="1"/>
  <c r="L130" i="1"/>
  <c r="H130" i="1"/>
  <c r="L129" i="1"/>
  <c r="H129" i="1"/>
  <c r="L128" i="1"/>
  <c r="H128" i="1"/>
  <c r="L127" i="1"/>
  <c r="H127" i="1"/>
  <c r="L126" i="1"/>
  <c r="H126" i="1"/>
  <c r="L125" i="1"/>
  <c r="H125" i="1"/>
  <c r="L124" i="1"/>
  <c r="H124" i="1"/>
  <c r="L123" i="1"/>
  <c r="H123" i="1"/>
  <c r="L122" i="1"/>
  <c r="H122" i="1"/>
  <c r="L121" i="1"/>
  <c r="H121" i="1"/>
  <c r="L120" i="1"/>
  <c r="H120" i="1"/>
  <c r="L119" i="1"/>
  <c r="H119" i="1"/>
  <c r="L118" i="1"/>
  <c r="H118" i="1"/>
  <c r="L117" i="1"/>
  <c r="H117" i="1"/>
  <c r="L116" i="1"/>
  <c r="H116" i="1"/>
  <c r="L115" i="1"/>
  <c r="H115" i="1"/>
  <c r="L114" i="1"/>
  <c r="H114" i="1"/>
  <c r="L113" i="1"/>
  <c r="H113" i="1"/>
  <c r="L112" i="1"/>
  <c r="H112" i="1"/>
  <c r="L111" i="1"/>
  <c r="H111" i="1"/>
  <c r="L110" i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100" i="1"/>
  <c r="H100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L60" i="1"/>
  <c r="H60" i="1"/>
  <c r="L59" i="1"/>
  <c r="H59" i="1"/>
  <c r="L58" i="1"/>
  <c r="H58" i="1"/>
  <c r="L57" i="1"/>
  <c r="H57" i="1"/>
  <c r="L56" i="1"/>
  <c r="H56" i="1"/>
  <c r="L55" i="1"/>
  <c r="H55" i="1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6" i="1"/>
  <c r="H36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L10" i="1"/>
  <c r="H10" i="1"/>
  <c r="L9" i="1"/>
  <c r="H9" i="1"/>
  <c r="L8" i="1"/>
  <c r="H8" i="1"/>
  <c r="L7" i="1"/>
  <c r="H7" i="1"/>
  <c r="L6" i="1"/>
  <c r="H6" i="1"/>
  <c r="L5" i="1"/>
  <c r="J14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5" i="1"/>
  <c r="H5" i="1"/>
  <c r="J4" i="1"/>
  <c r="L4" i="1"/>
  <c r="H4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1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4" i="1"/>
</calcChain>
</file>

<file path=xl/sharedStrings.xml><?xml version="1.0" encoding="utf-8"?>
<sst xmlns="http://schemas.openxmlformats.org/spreadsheetml/2006/main" count="537" uniqueCount="306">
  <si>
    <t>Specimen</t>
  </si>
  <si>
    <t>Raw reads</t>
  </si>
  <si>
    <t>AgUr21</t>
  </si>
  <si>
    <t>Left after adapterremoval</t>
  </si>
  <si>
    <t>Mapped reads</t>
  </si>
  <si>
    <t>AgUr22</t>
  </si>
  <si>
    <t>AgUr23</t>
  </si>
  <si>
    <t>AgUr24</t>
  </si>
  <si>
    <t>AgUr25</t>
  </si>
  <si>
    <t>AgUr26</t>
  </si>
  <si>
    <t>AgUr27</t>
  </si>
  <si>
    <t>AgUr28</t>
  </si>
  <si>
    <t>AgUr31</t>
  </si>
  <si>
    <t>AgUr32</t>
  </si>
  <si>
    <t>AgUr33</t>
  </si>
  <si>
    <t>AgUr34</t>
  </si>
  <si>
    <t>AgUr35</t>
  </si>
  <si>
    <t>AgUr36</t>
  </si>
  <si>
    <t>AgUr37</t>
  </si>
  <si>
    <t>AgUr38</t>
  </si>
  <si>
    <t>AgUr39</t>
  </si>
  <si>
    <t>AgUr41</t>
  </si>
  <si>
    <t>AgUr42</t>
  </si>
  <si>
    <t>AgUr43</t>
  </si>
  <si>
    <t>AgUr44</t>
  </si>
  <si>
    <t>AgUr45</t>
  </si>
  <si>
    <t>AgUr46</t>
  </si>
  <si>
    <t>AgUr47</t>
  </si>
  <si>
    <t>AgUr48</t>
  </si>
  <si>
    <t>AgUr49</t>
  </si>
  <si>
    <t>AgUr50</t>
  </si>
  <si>
    <t>AgUr51</t>
  </si>
  <si>
    <t>AgUr52</t>
  </si>
  <si>
    <t>AgUr53</t>
  </si>
  <si>
    <t>AgUr54</t>
  </si>
  <si>
    <t>AgUr55</t>
  </si>
  <si>
    <t>AgUr56</t>
  </si>
  <si>
    <t>AgUr57</t>
  </si>
  <si>
    <t>AgUr58</t>
  </si>
  <si>
    <t>AgUr59</t>
  </si>
  <si>
    <t>AgUr60</t>
  </si>
  <si>
    <t>AgUr61</t>
  </si>
  <si>
    <t>AgUr62</t>
  </si>
  <si>
    <t>AgUr63</t>
  </si>
  <si>
    <t>AgUr64</t>
  </si>
  <si>
    <t>AgUr65</t>
  </si>
  <si>
    <t>AgUr66</t>
  </si>
  <si>
    <t>AgUr67</t>
  </si>
  <si>
    <t>AgUr68</t>
  </si>
  <si>
    <t>AgUr69</t>
  </si>
  <si>
    <t>AgUr70</t>
  </si>
  <si>
    <t>AgUr71</t>
  </si>
  <si>
    <t>AgUr72</t>
  </si>
  <si>
    <t>AgUr73</t>
  </si>
  <si>
    <t>AgUr74</t>
  </si>
  <si>
    <t>AgUr75</t>
  </si>
  <si>
    <t>AgUr76</t>
  </si>
  <si>
    <t>AgUr77</t>
  </si>
  <si>
    <t>AgUr78</t>
  </si>
  <si>
    <t>AgUr79</t>
  </si>
  <si>
    <t>AgUr80</t>
  </si>
  <si>
    <t>PiNa21</t>
  </si>
  <si>
    <t>PiNa22</t>
  </si>
  <si>
    <t>PiNa23</t>
  </si>
  <si>
    <t>PiNa24</t>
  </si>
  <si>
    <t>PiNa25</t>
  </si>
  <si>
    <t>PiNa26</t>
  </si>
  <si>
    <t>PiNa27</t>
  </si>
  <si>
    <t>PiNa28</t>
  </si>
  <si>
    <t>PiNa29</t>
  </si>
  <si>
    <t>PiNa31</t>
  </si>
  <si>
    <t>PiNa32</t>
  </si>
  <si>
    <t>PiNa33</t>
  </si>
  <si>
    <t>PiNa34</t>
  </si>
  <si>
    <t>PiNa35</t>
  </si>
  <si>
    <t>PiNa36</t>
  </si>
  <si>
    <t>PiNa37</t>
  </si>
  <si>
    <t>PiNa38</t>
  </si>
  <si>
    <t>PiNa39</t>
  </si>
  <si>
    <t>PiNa41</t>
  </si>
  <si>
    <t>PiNa42</t>
  </si>
  <si>
    <t>PiNa43</t>
  </si>
  <si>
    <t>PiNa44</t>
  </si>
  <si>
    <t>PiNa45</t>
  </si>
  <si>
    <t>PiNa46</t>
  </si>
  <si>
    <t>PiNa47</t>
  </si>
  <si>
    <t>PiNa48</t>
  </si>
  <si>
    <t>PiNa49</t>
  </si>
  <si>
    <t>PiNa50</t>
  </si>
  <si>
    <t>PiNa51</t>
  </si>
  <si>
    <t>PiNa52</t>
  </si>
  <si>
    <t>PiNa53</t>
  </si>
  <si>
    <t>PiNa54</t>
  </si>
  <si>
    <t>PiNa55</t>
  </si>
  <si>
    <t>PiNa56</t>
  </si>
  <si>
    <t>PiNa57</t>
  </si>
  <si>
    <t>PiNa58</t>
  </si>
  <si>
    <t>PiNa59</t>
  </si>
  <si>
    <t>PiNa61</t>
  </si>
  <si>
    <t>PiNa62</t>
  </si>
  <si>
    <t>PiNa63</t>
  </si>
  <si>
    <t>PiNa64</t>
  </si>
  <si>
    <t>PiNa65</t>
  </si>
  <si>
    <t>PiNa66</t>
  </si>
  <si>
    <t>PiNa67</t>
  </si>
  <si>
    <t>PiNa68</t>
  </si>
  <si>
    <t>PiNa69</t>
  </si>
  <si>
    <t>PiNa70</t>
  </si>
  <si>
    <t>PiNa71</t>
  </si>
  <si>
    <t>PiNa72</t>
  </si>
  <si>
    <t>PiNa73</t>
  </si>
  <si>
    <t>PiNa74</t>
  </si>
  <si>
    <t>PiNa75</t>
  </si>
  <si>
    <t>PiNa76</t>
  </si>
  <si>
    <t>PiNa77</t>
  </si>
  <si>
    <t>PiNa78</t>
  </si>
  <si>
    <t>PiNa79</t>
  </si>
  <si>
    <t>PiNa80</t>
  </si>
  <si>
    <t>Hse_M121</t>
  </si>
  <si>
    <t>Hse_M122</t>
  </si>
  <si>
    <t>Hse_M123</t>
  </si>
  <si>
    <t>Hse_M124</t>
  </si>
  <si>
    <t>Hse_M125</t>
  </si>
  <si>
    <t>Hse_M126</t>
  </si>
  <si>
    <t>Hse_M127</t>
  </si>
  <si>
    <t>Hse_M128</t>
  </si>
  <si>
    <t>Hse_M129</t>
  </si>
  <si>
    <t>Hse_M130</t>
  </si>
  <si>
    <t>Hse_M131</t>
  </si>
  <si>
    <t>Hse_M132</t>
  </si>
  <si>
    <t>Hse_M133</t>
  </si>
  <si>
    <t>Hse_M134</t>
  </si>
  <si>
    <t>Hse_M135</t>
  </si>
  <si>
    <t>Hse_M136</t>
  </si>
  <si>
    <t>Hse_M137</t>
  </si>
  <si>
    <t>Hse_M138</t>
  </si>
  <si>
    <t>Hse_M139</t>
  </si>
  <si>
    <t>Hse_M140</t>
  </si>
  <si>
    <t>Hse_M141</t>
  </si>
  <si>
    <t>Hse_M142</t>
  </si>
  <si>
    <t>Hse_M143</t>
  </si>
  <si>
    <t>Hse_M144</t>
  </si>
  <si>
    <t>Hse_M145</t>
  </si>
  <si>
    <t>Hse_M146</t>
  </si>
  <si>
    <t>Hse_M147</t>
  </si>
  <si>
    <t>Hse_M148</t>
  </si>
  <si>
    <t>Hse_M149</t>
  </si>
  <si>
    <t>Hse_M150</t>
  </si>
  <si>
    <t>Lph_M01</t>
  </si>
  <si>
    <t>Lph_M02</t>
  </si>
  <si>
    <t>Lph_M03</t>
  </si>
  <si>
    <t>Lph_M04</t>
  </si>
  <si>
    <t>Lph_M05</t>
  </si>
  <si>
    <t>Lph_M06</t>
  </si>
  <si>
    <t>Lph_M07</t>
  </si>
  <si>
    <t>Lph_M08</t>
  </si>
  <si>
    <t>Lph_M09</t>
  </si>
  <si>
    <t>Lph_M10</t>
  </si>
  <si>
    <t>Lph_M11</t>
  </si>
  <si>
    <t>Lph_M12</t>
  </si>
  <si>
    <t>Lph_M13</t>
  </si>
  <si>
    <t>Lph_M14</t>
  </si>
  <si>
    <t>Lph_M15</t>
  </si>
  <si>
    <t>Lph_M16</t>
  </si>
  <si>
    <t>Lph_M17</t>
  </si>
  <si>
    <t>Lph_M18</t>
  </si>
  <si>
    <t>Lph_M19</t>
  </si>
  <si>
    <t>Lph_M20</t>
  </si>
  <si>
    <t>Lph_M21</t>
  </si>
  <si>
    <t>Lph_M22</t>
  </si>
  <si>
    <t>Lph_M23</t>
  </si>
  <si>
    <t>Lph_M24</t>
  </si>
  <si>
    <t>Lph_M25</t>
  </si>
  <si>
    <t>Lph_M26</t>
  </si>
  <si>
    <t>Lph_M27</t>
  </si>
  <si>
    <t>Lph_M28</t>
  </si>
  <si>
    <t>Lph_M29</t>
  </si>
  <si>
    <t>Lph_M30</t>
  </si>
  <si>
    <t>Duplicated reads</t>
  </si>
  <si>
    <t>Remaining after markdup (which removes duplicates and reads with MapQ&lt;20</t>
  </si>
  <si>
    <t>Average read length (post filtering duplicates and reads with MapQ&lt;20)</t>
  </si>
  <si>
    <t>Average read length (incl. duplicates and reads with mapQ &lt; 20)</t>
  </si>
  <si>
    <t>Reads with MapQ &lt; 20 (excluding duplicates)</t>
  </si>
  <si>
    <t>Collection year</t>
  </si>
  <si>
    <t>Museum ID #</t>
  </si>
  <si>
    <t>NHMD 919887</t>
  </si>
  <si>
    <t>NHMA 352255</t>
  </si>
  <si>
    <t>NHMA 352256</t>
  </si>
  <si>
    <t>NHMA 352293</t>
  </si>
  <si>
    <t>NHMA 224454</t>
  </si>
  <si>
    <t>NHMA 224455</t>
  </si>
  <si>
    <t>NHMA 224453</t>
  </si>
  <si>
    <t>NHMA 224452</t>
  </si>
  <si>
    <t>NHMA 350020</t>
  </si>
  <si>
    <t>NHMA 350021</t>
  </si>
  <si>
    <t>NHMA 219338</t>
  </si>
  <si>
    <t>NHMA 219301</t>
  </si>
  <si>
    <t>NHMA 219434</t>
  </si>
  <si>
    <t>NHMA 219341</t>
  </si>
  <si>
    <t>NHMA 219348</t>
  </si>
  <si>
    <t>NHMA 219490</t>
  </si>
  <si>
    <t>NHMA 352250</t>
  </si>
  <si>
    <t>NHMA 352251</t>
  </si>
  <si>
    <t>NHMA 352252</t>
  </si>
  <si>
    <t>NHMA 352253</t>
  </si>
  <si>
    <t>NHMA 352254</t>
  </si>
  <si>
    <t>NHMD 919686</t>
  </si>
  <si>
    <t>NHMD 919692</t>
  </si>
  <si>
    <t>NHMD 919693</t>
  </si>
  <si>
    <t>NHMD 919694</t>
  </si>
  <si>
    <t>NHMD 919695</t>
  </si>
  <si>
    <t>NHMD 919696</t>
  </si>
  <si>
    <t>NHMD 919697</t>
  </si>
  <si>
    <t>NHMD 919698</t>
  </si>
  <si>
    <t>NHMA 224430</t>
  </si>
  <si>
    <t>NHMA 224481</t>
  </si>
  <si>
    <t>NHMA 219409</t>
  </si>
  <si>
    <t>NHMA 219396</t>
  </si>
  <si>
    <t>NHMA 219406</t>
  </si>
  <si>
    <t>NHMA 224441</t>
  </si>
  <si>
    <t>NHMA 219420</t>
  </si>
  <si>
    <t>NHMA 224482</t>
  </si>
  <si>
    <t>NHMA 219372</t>
  </si>
  <si>
    <t>NHMA 219431</t>
  </si>
  <si>
    <t>NHMA 224434</t>
  </si>
  <si>
    <t>NHMD 919687</t>
  </si>
  <si>
    <t>NHMD 919688</t>
  </si>
  <si>
    <t>NHMD 919689</t>
  </si>
  <si>
    <t>NHMD 919691</t>
  </si>
  <si>
    <t>NHMA 219475</t>
  </si>
  <si>
    <t>NHMA 219379</t>
  </si>
  <si>
    <t>NHMA 219442</t>
  </si>
  <si>
    <t>NHMA 219429</t>
  </si>
  <si>
    <t>NHMA 219371</t>
  </si>
  <si>
    <t>NHMA 219410</t>
  </si>
  <si>
    <t>NHMA 352232</t>
  </si>
  <si>
    <t>NHMA 352233</t>
  </si>
  <si>
    <t>NHMA 352284</t>
  </si>
  <si>
    <t>NHMA 352285</t>
  </si>
  <si>
    <t>NHMA 352286</t>
  </si>
  <si>
    <t>NHMA 352287</t>
  </si>
  <si>
    <t>NHMA 352288</t>
  </si>
  <si>
    <t>NHMA 352289</t>
  </si>
  <si>
    <t>NHMA 352290</t>
  </si>
  <si>
    <t>NHMA 224439</t>
  </si>
  <si>
    <t>NHMA 224437</t>
  </si>
  <si>
    <t>NHMA 224438</t>
  </si>
  <si>
    <t>NHMA 224445</t>
  </si>
  <si>
    <t>NHMA 224431</t>
  </si>
  <si>
    <t>NHMA 224432</t>
  </si>
  <si>
    <t>NHMA 224433</t>
  </si>
  <si>
    <t>NHMA 224440</t>
  </si>
  <si>
    <t>NHMA 224436</t>
  </si>
  <si>
    <t>NHMD 919723</t>
  </si>
  <si>
    <t>NHMD 919722</t>
  </si>
  <si>
    <t>NHMD 919732</t>
  </si>
  <si>
    <t>NHMA 219448</t>
  </si>
  <si>
    <t>NHMA 219404</t>
  </si>
  <si>
    <t>NHMA 219357</t>
  </si>
  <si>
    <t>NHMA 219342</t>
  </si>
  <si>
    <t>NHMA 219417</t>
  </si>
  <si>
    <t>NHMA 219315</t>
  </si>
  <si>
    <t>NHMA 219368</t>
  </si>
  <si>
    <t>NHMA 219328</t>
  </si>
  <si>
    <t>NHMA 219362</t>
  </si>
  <si>
    <t>NHMA 219321</t>
  </si>
  <si>
    <t>NHMA 219305</t>
  </si>
  <si>
    <t>NHMA 219472</t>
  </si>
  <si>
    <t>NHMA 219383</t>
  </si>
  <si>
    <t>NHMA 219476</t>
  </si>
  <si>
    <t>NHMA 219319</t>
  </si>
  <si>
    <t>NHMA 219354</t>
  </si>
  <si>
    <t>NHMD 919711</t>
  </si>
  <si>
    <t>NHMD 919724</t>
  </si>
  <si>
    <t>NHMD 919726</t>
  </si>
  <si>
    <t>NHMD 919727</t>
  </si>
  <si>
    <t>NHMD 919728</t>
  </si>
  <si>
    <t>NHMD 919729</t>
  </si>
  <si>
    <t>NHMD 919731</t>
  </si>
  <si>
    <t>NHMA 219457</t>
  </si>
  <si>
    <t>NHMA 219304</t>
  </si>
  <si>
    <t>NHMA 219487</t>
  </si>
  <si>
    <t>NHMA 219296</t>
  </si>
  <si>
    <t>NHMA 219345</t>
  </si>
  <si>
    <t>NHMA 219373</t>
  </si>
  <si>
    <t>NHMA 219367</t>
  </si>
  <si>
    <t>NHMA 219425</t>
  </si>
  <si>
    <t>NHMA 219393</t>
  </si>
  <si>
    <t>NHMA 219467</t>
  </si>
  <si>
    <t>NHMD 919714</t>
  </si>
  <si>
    <t>NHMD 919716</t>
  </si>
  <si>
    <t>NHMD 919717</t>
  </si>
  <si>
    <t>NHMD 919718</t>
  </si>
  <si>
    <t>NHMD 919719</t>
  </si>
  <si>
    <t>NHMD 919721</t>
  </si>
  <si>
    <t>NHMD 919725</t>
  </si>
  <si>
    <t>NHMA 219489</t>
  </si>
  <si>
    <t>NHMA 219323</t>
  </si>
  <si>
    <t>NHMA 219374</t>
  </si>
  <si>
    <t>Collection country</t>
  </si>
  <si>
    <t>Denmark</t>
  </si>
  <si>
    <t>Finland</t>
  </si>
  <si>
    <t>n.a.</t>
  </si>
  <si>
    <t>% endogeneous DNA</t>
  </si>
  <si>
    <t>Table S2: Sequencing metadata for individual specimens sequenced using SCR library build and single end 50 bp sequencing.</t>
  </si>
  <si>
    <t>Supplementary material to: Djernæs M., Bras A., Simonsen T.J., Jensen M.R., Bechsgaard J.S., Pedersen J.B., Mowery A.A., Bilde T. &amp; Thomsen P.F. 2026: Optimization of DNA extraction for insect museomics substantially increases DNA yield. — Eur. J. Entomol. 123: 48–60.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</si>
</sst>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Fill="1"/>
    <xf numFmtId="164" fontId="0" fillId="0" borderId="0" xfId="1" applyFont="1" applyFill="1"/>
    <xf numFmtId="165" fontId="3" fillId="0" borderId="0" xfId="1" applyNumberFormat="1" applyFont="1" applyFill="1"/>
    <xf numFmtId="164" fontId="3" fillId="0" borderId="0" xfId="1" applyFont="1" applyFill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workbookViewId="0"/>
  </sheetViews>
  <sheetFormatPr defaultColWidth="9.140625" defaultRowHeight="15" x14ac:dyDescent="0.25"/>
  <cols>
    <col min="1" max="1" width="10" bestFit="1" customWidth="1"/>
    <col min="2" max="2" width="14.140625" customWidth="1"/>
    <col min="3" max="3" width="14.28515625" customWidth="1"/>
    <col min="4" max="4" width="16.85546875" customWidth="1"/>
    <col min="5" max="5" width="14.5703125" style="1" bestFit="1" customWidth="1"/>
    <col min="6" max="6" width="22.5703125" style="1" bestFit="1" customWidth="1"/>
    <col min="7" max="7" width="15.140625" style="1" customWidth="1"/>
    <col min="8" max="8" width="19.28515625" style="1" customWidth="1"/>
    <col min="9" max="9" width="15.85546875" style="1" bestFit="1" customWidth="1"/>
    <col min="10" max="10" width="21" style="2" customWidth="1"/>
    <col min="11" max="11" width="24.5703125" style="1" customWidth="1"/>
    <col min="12" max="12" width="20" style="1" customWidth="1"/>
    <col min="13" max="13" width="11.140625" bestFit="1" customWidth="1"/>
  </cols>
  <sheetData>
    <row r="1" spans="1:13" x14ac:dyDescent="0.25">
      <c r="A1" t="s">
        <v>305</v>
      </c>
    </row>
    <row r="2" spans="1:13" x14ac:dyDescent="0.25">
      <c r="A2" s="8" t="s">
        <v>304</v>
      </c>
      <c r="B2" s="8"/>
      <c r="C2" s="8"/>
      <c r="D2" s="8"/>
      <c r="E2" s="8"/>
      <c r="F2" s="8"/>
      <c r="G2" s="8"/>
      <c r="H2" s="8"/>
      <c r="I2" s="8"/>
    </row>
    <row r="3" spans="1:13" s="7" customFormat="1" x14ac:dyDescent="0.25">
      <c r="A3" s="7" t="s">
        <v>0</v>
      </c>
      <c r="B3" s="7" t="s">
        <v>184</v>
      </c>
      <c r="C3" s="7" t="s">
        <v>183</v>
      </c>
      <c r="D3" s="7" t="s">
        <v>299</v>
      </c>
      <c r="E3" s="7" t="s">
        <v>1</v>
      </c>
      <c r="F3" s="7" t="s">
        <v>3</v>
      </c>
      <c r="G3" s="7" t="s">
        <v>4</v>
      </c>
      <c r="H3" s="7" t="s">
        <v>181</v>
      </c>
      <c r="I3" s="7" t="s">
        <v>178</v>
      </c>
      <c r="J3" s="7" t="s">
        <v>182</v>
      </c>
      <c r="K3" s="7" t="s">
        <v>179</v>
      </c>
      <c r="L3" s="7" t="s">
        <v>180</v>
      </c>
      <c r="M3" s="7" t="s">
        <v>303</v>
      </c>
    </row>
    <row r="4" spans="1:13" x14ac:dyDescent="0.25">
      <c r="A4" t="s">
        <v>2</v>
      </c>
      <c r="B4" s="6" t="s">
        <v>185</v>
      </c>
      <c r="C4">
        <v>1990</v>
      </c>
      <c r="D4" t="s">
        <v>300</v>
      </c>
      <c r="E4" s="2">
        <v>114223532</v>
      </c>
      <c r="F4" s="2">
        <v>109701870</v>
      </c>
      <c r="G4" s="2">
        <v>91152757</v>
      </c>
      <c r="H4" s="3">
        <f>4837979451/109701870</f>
        <v>44.101157537241619</v>
      </c>
      <c r="I4" s="2">
        <v>19155035</v>
      </c>
      <c r="J4" s="2">
        <f>G4-I4-K4</f>
        <v>18302777</v>
      </c>
      <c r="K4" s="2">
        <v>53694945</v>
      </c>
      <c r="L4" s="3">
        <f>2388713327/53694945</f>
        <v>44.486745018548767</v>
      </c>
      <c r="M4" s="3">
        <f>(K4/F4)*100</f>
        <v>48.946244033943998</v>
      </c>
    </row>
    <row r="5" spans="1:13" x14ac:dyDescent="0.25">
      <c r="A5" t="s">
        <v>5</v>
      </c>
      <c r="B5" s="6" t="s">
        <v>186</v>
      </c>
      <c r="C5">
        <v>1984</v>
      </c>
      <c r="D5" t="s">
        <v>300</v>
      </c>
      <c r="E5" s="2">
        <v>107235615</v>
      </c>
      <c r="F5" s="2">
        <v>91341789</v>
      </c>
      <c r="G5" s="2">
        <v>76891710</v>
      </c>
      <c r="H5" s="3">
        <f>3474526702/91341789</f>
        <v>38.038741522787561</v>
      </c>
      <c r="I5" s="2">
        <v>11405299</v>
      </c>
      <c r="J5" s="2">
        <f>G5-I5-K5</f>
        <v>18083083</v>
      </c>
      <c r="K5" s="2">
        <v>47403328</v>
      </c>
      <c r="L5" s="3">
        <f>1821255638/47403328</f>
        <v>38.420417190961786</v>
      </c>
      <c r="M5" s="3">
        <f t="shared" ref="M5:M65" si="0">(K5/F5)*100</f>
        <v>51.89664940764407</v>
      </c>
    </row>
    <row r="6" spans="1:13" x14ac:dyDescent="0.25">
      <c r="A6" t="s">
        <v>6</v>
      </c>
      <c r="B6" s="6" t="s">
        <v>187</v>
      </c>
      <c r="C6">
        <v>1984</v>
      </c>
      <c r="D6" t="s">
        <v>300</v>
      </c>
      <c r="E6" s="2">
        <v>132081126</v>
      </c>
      <c r="F6" s="2">
        <v>116905419</v>
      </c>
      <c r="G6" s="2">
        <v>98003116</v>
      </c>
      <c r="H6" s="3">
        <f>4809427988/116905419</f>
        <v>41.139478641276675</v>
      </c>
      <c r="I6" s="2">
        <v>19518022</v>
      </c>
      <c r="J6" s="2">
        <f t="shared" ref="J6:J66" si="1">G6-I6-K6</f>
        <v>19744452</v>
      </c>
      <c r="K6" s="2">
        <v>58740642</v>
      </c>
      <c r="L6" s="3">
        <f>2456994489/58740642</f>
        <v>41.827845344284796</v>
      </c>
      <c r="M6" s="3">
        <f t="shared" si="0"/>
        <v>50.246295255141249</v>
      </c>
    </row>
    <row r="7" spans="1:13" x14ac:dyDescent="0.25">
      <c r="A7" t="s">
        <v>7</v>
      </c>
      <c r="B7" s="6" t="s">
        <v>189</v>
      </c>
      <c r="C7">
        <v>1988</v>
      </c>
      <c r="D7" t="s">
        <v>300</v>
      </c>
      <c r="E7" s="2">
        <v>139474094</v>
      </c>
      <c r="F7" s="2">
        <v>108031551</v>
      </c>
      <c r="G7" s="2">
        <v>94211694</v>
      </c>
      <c r="H7" s="3">
        <f>3854671929/108031551</f>
        <v>35.680982947287319</v>
      </c>
      <c r="I7" s="2">
        <v>18928910</v>
      </c>
      <c r="J7" s="2">
        <f t="shared" si="1"/>
        <v>21625693</v>
      </c>
      <c r="K7" s="2">
        <v>53657091</v>
      </c>
      <c r="L7" s="3">
        <f>1962580594/53657091</f>
        <v>36.576350998976075</v>
      </c>
      <c r="M7" s="3">
        <f t="shared" si="0"/>
        <v>49.667981717674316</v>
      </c>
    </row>
    <row r="8" spans="1:13" x14ac:dyDescent="0.25">
      <c r="A8" t="s">
        <v>8</v>
      </c>
      <c r="B8" s="6" t="s">
        <v>190</v>
      </c>
      <c r="C8">
        <v>1988</v>
      </c>
      <c r="D8" t="s">
        <v>300</v>
      </c>
      <c r="E8" s="2">
        <v>90483242</v>
      </c>
      <c r="F8" s="2">
        <v>73542071</v>
      </c>
      <c r="G8" s="2">
        <v>63487560</v>
      </c>
      <c r="H8" s="3">
        <f>2785666812/73542071</f>
        <v>37.87854726038379</v>
      </c>
      <c r="I8" s="2">
        <v>6940007</v>
      </c>
      <c r="J8" s="2">
        <f t="shared" si="1"/>
        <v>13974272</v>
      </c>
      <c r="K8" s="2">
        <v>42573281</v>
      </c>
      <c r="L8" s="3">
        <f>1646061216/42573281</f>
        <v>38.664185078899607</v>
      </c>
      <c r="M8" s="3">
        <f t="shared" si="0"/>
        <v>57.889695545832531</v>
      </c>
    </row>
    <row r="9" spans="1:13" x14ac:dyDescent="0.25">
      <c r="A9" t="s">
        <v>9</v>
      </c>
      <c r="B9" s="6" t="s">
        <v>193</v>
      </c>
      <c r="C9">
        <v>1980</v>
      </c>
      <c r="D9" t="s">
        <v>300</v>
      </c>
      <c r="E9" s="2">
        <v>166875802</v>
      </c>
      <c r="F9" s="2">
        <v>71282084</v>
      </c>
      <c r="G9" s="2">
        <v>52221341</v>
      </c>
      <c r="H9" s="3">
        <f>2404106825/71282084</f>
        <v>33.726662999920151</v>
      </c>
      <c r="I9" s="2">
        <v>12652666</v>
      </c>
      <c r="J9" s="2">
        <f t="shared" si="1"/>
        <v>13789488</v>
      </c>
      <c r="K9" s="2">
        <v>25779187</v>
      </c>
      <c r="L9" s="3">
        <f>816581746/25779187</f>
        <v>31.676008479243354</v>
      </c>
      <c r="M9" s="3">
        <f t="shared" si="0"/>
        <v>36.165029911302817</v>
      </c>
    </row>
    <row r="10" spans="1:13" x14ac:dyDescent="0.25">
      <c r="A10" t="s">
        <v>10</v>
      </c>
      <c r="B10" s="6" t="s">
        <v>188</v>
      </c>
      <c r="C10">
        <v>1982</v>
      </c>
      <c r="D10" t="s">
        <v>300</v>
      </c>
      <c r="E10" s="2">
        <v>109647229</v>
      </c>
      <c r="F10" s="2">
        <v>100939068</v>
      </c>
      <c r="G10" s="2">
        <v>84669500</v>
      </c>
      <c r="H10" s="3">
        <f>4414099855/100939068</f>
        <v>43.7303409122026</v>
      </c>
      <c r="I10" s="2">
        <v>17477327</v>
      </c>
      <c r="J10" s="2">
        <f t="shared" si="1"/>
        <v>17531189</v>
      </c>
      <c r="K10" s="2">
        <v>49660984</v>
      </c>
      <c r="L10" s="3">
        <f>2192918098/49660984</f>
        <v>44.157765742217272</v>
      </c>
      <c r="M10" s="3">
        <f t="shared" si="0"/>
        <v>49.198972195780527</v>
      </c>
    </row>
    <row r="11" spans="1:13" x14ac:dyDescent="0.25">
      <c r="A11" t="s">
        <v>11</v>
      </c>
      <c r="B11" s="6" t="s">
        <v>194</v>
      </c>
      <c r="C11">
        <v>1981</v>
      </c>
      <c r="D11" t="s">
        <v>300</v>
      </c>
      <c r="E11" s="2">
        <v>32273550</v>
      </c>
      <c r="F11" s="2">
        <v>11022977</v>
      </c>
      <c r="G11" s="2">
        <v>6531420</v>
      </c>
      <c r="H11" s="3">
        <f>383832379/11022977</f>
        <v>34.821117652699449</v>
      </c>
      <c r="I11" s="2">
        <v>1072785</v>
      </c>
      <c r="J11" s="2">
        <f t="shared" si="1"/>
        <v>2420908</v>
      </c>
      <c r="K11" s="2">
        <v>3037727</v>
      </c>
      <c r="L11" s="3">
        <f>88729177/3037727</f>
        <v>29.209068820206689</v>
      </c>
      <c r="M11" s="3">
        <f t="shared" si="0"/>
        <v>27.558136064331805</v>
      </c>
    </row>
    <row r="12" spans="1:13" x14ac:dyDescent="0.25">
      <c r="A12" t="s">
        <v>12</v>
      </c>
      <c r="B12" s="6" t="s">
        <v>195</v>
      </c>
      <c r="C12">
        <v>1980</v>
      </c>
      <c r="D12" t="s">
        <v>300</v>
      </c>
      <c r="E12" s="2">
        <v>99408825</v>
      </c>
      <c r="F12" s="2">
        <v>90473469</v>
      </c>
      <c r="G12" s="2">
        <v>76284352</v>
      </c>
      <c r="H12" s="3">
        <f>3906367440/90473469</f>
        <v>43.17693886591217</v>
      </c>
      <c r="I12" s="2">
        <v>12026383</v>
      </c>
      <c r="J12" s="2">
        <f t="shared" si="1"/>
        <v>16784044</v>
      </c>
      <c r="K12" s="2">
        <v>47473925</v>
      </c>
      <c r="L12" s="3">
        <f>2071798629/47473925</f>
        <v>43.64076972780321</v>
      </c>
      <c r="M12" s="3">
        <f t="shared" si="0"/>
        <v>52.472758616119833</v>
      </c>
    </row>
    <row r="13" spans="1:13" x14ac:dyDescent="0.25">
      <c r="A13" t="s">
        <v>13</v>
      </c>
      <c r="B13" s="6" t="s">
        <v>196</v>
      </c>
      <c r="C13">
        <v>1984</v>
      </c>
      <c r="D13" t="s">
        <v>300</v>
      </c>
      <c r="E13" s="2">
        <v>179102477</v>
      </c>
      <c r="F13" s="2">
        <v>162805875</v>
      </c>
      <c r="G13" s="2">
        <v>139059854</v>
      </c>
      <c r="H13" s="3">
        <f>7209006649/162805875</f>
        <v>44.27976968890097</v>
      </c>
      <c r="I13" s="2">
        <v>39169431</v>
      </c>
      <c r="J13" s="2">
        <f t="shared" si="1"/>
        <v>25183368</v>
      </c>
      <c r="K13" s="2">
        <v>74707055</v>
      </c>
      <c r="L13" s="3">
        <f>3358099586/74707055</f>
        <v>44.95023376306294</v>
      </c>
      <c r="M13" s="3">
        <f t="shared" si="0"/>
        <v>45.887198481013044</v>
      </c>
    </row>
    <row r="14" spans="1:13" x14ac:dyDescent="0.25">
      <c r="A14" t="s">
        <v>14</v>
      </c>
      <c r="B14" s="6" t="s">
        <v>197</v>
      </c>
      <c r="C14">
        <v>1984</v>
      </c>
      <c r="D14" t="s">
        <v>300</v>
      </c>
      <c r="E14" s="2">
        <v>119988239</v>
      </c>
      <c r="F14" s="2">
        <v>108064286</v>
      </c>
      <c r="G14" s="2">
        <v>88507487</v>
      </c>
      <c r="H14" s="3">
        <f>4696468962/108064286</f>
        <v>43.459954586661496</v>
      </c>
      <c r="I14" s="2">
        <v>15317896</v>
      </c>
      <c r="J14" s="2">
        <f t="shared" si="1"/>
        <v>17229281</v>
      </c>
      <c r="K14" s="2">
        <v>55960310</v>
      </c>
      <c r="L14" s="3">
        <f>2458829438/55960310</f>
        <v>43.938810167420442</v>
      </c>
      <c r="M14" s="3">
        <f t="shared" si="0"/>
        <v>51.784277740011163</v>
      </c>
    </row>
    <row r="15" spans="1:13" x14ac:dyDescent="0.25">
      <c r="A15" t="s">
        <v>15</v>
      </c>
      <c r="B15" s="6" t="s">
        <v>198</v>
      </c>
      <c r="C15">
        <v>1984</v>
      </c>
      <c r="D15" t="s">
        <v>300</v>
      </c>
      <c r="E15" s="2">
        <v>80625261</v>
      </c>
      <c r="F15" s="2">
        <v>69677068</v>
      </c>
      <c r="G15" s="2">
        <v>58780640</v>
      </c>
      <c r="H15" s="3">
        <f>2948358740/69677068</f>
        <v>42.314621217988105</v>
      </c>
      <c r="I15" s="2">
        <v>7453130</v>
      </c>
      <c r="J15" s="2">
        <f t="shared" si="1"/>
        <v>13274416</v>
      </c>
      <c r="K15" s="2">
        <v>38053094</v>
      </c>
      <c r="L15" s="3">
        <f>1622856370/38053094</f>
        <v>42.6471595187503</v>
      </c>
      <c r="M15" s="3">
        <f t="shared" si="0"/>
        <v>54.613512152951095</v>
      </c>
    </row>
    <row r="16" spans="1:13" x14ac:dyDescent="0.25">
      <c r="A16" t="s">
        <v>16</v>
      </c>
      <c r="B16" s="6" t="s">
        <v>201</v>
      </c>
      <c r="C16">
        <v>1980</v>
      </c>
      <c r="D16" t="s">
        <v>300</v>
      </c>
      <c r="E16" s="2">
        <v>77410036</v>
      </c>
      <c r="F16" s="2">
        <v>65165405</v>
      </c>
      <c r="G16" s="2">
        <v>54968960</v>
      </c>
      <c r="H16" s="3">
        <f>2634960978/65165405</f>
        <v>40.434966651400387</v>
      </c>
      <c r="I16" s="2">
        <v>7729967</v>
      </c>
      <c r="J16" s="2">
        <f t="shared" si="1"/>
        <v>12432660</v>
      </c>
      <c r="K16" s="2">
        <v>34806333</v>
      </c>
      <c r="L16" s="3">
        <f>1418645397/34806333</f>
        <v>40.758255027899665</v>
      </c>
      <c r="M16" s="3">
        <f t="shared" si="0"/>
        <v>53.412286780079086</v>
      </c>
    </row>
    <row r="17" spans="1:13" x14ac:dyDescent="0.25">
      <c r="A17" t="s">
        <v>17</v>
      </c>
      <c r="B17" s="6" t="s">
        <v>202</v>
      </c>
      <c r="C17">
        <v>1984</v>
      </c>
      <c r="D17" t="s">
        <v>300</v>
      </c>
      <c r="E17" s="2">
        <v>65333258</v>
      </c>
      <c r="F17" s="2">
        <v>58881563</v>
      </c>
      <c r="G17" s="2">
        <v>49407849</v>
      </c>
      <c r="H17" s="3">
        <f>2582064210/58881563</f>
        <v>43.85182862757906</v>
      </c>
      <c r="I17" s="2">
        <v>6242388</v>
      </c>
      <c r="J17" s="2">
        <f t="shared" si="1"/>
        <v>10787929</v>
      </c>
      <c r="K17" s="2">
        <v>32377532</v>
      </c>
      <c r="L17" s="3">
        <f>1425975672/32377532</f>
        <v>44.042136133167901</v>
      </c>
      <c r="M17" s="3">
        <f t="shared" si="0"/>
        <v>54.987555272607146</v>
      </c>
    </row>
    <row r="18" spans="1:13" x14ac:dyDescent="0.25">
      <c r="A18" t="s">
        <v>18</v>
      </c>
      <c r="B18" s="6" t="s">
        <v>203</v>
      </c>
      <c r="C18">
        <v>1984</v>
      </c>
      <c r="D18" t="s">
        <v>300</v>
      </c>
      <c r="E18" s="2">
        <v>93329541</v>
      </c>
      <c r="F18" s="2">
        <v>88150089</v>
      </c>
      <c r="G18" s="2">
        <v>74328406</v>
      </c>
      <c r="H18" s="3">
        <f>3894722892/88150089</f>
        <v>44.182858306586624</v>
      </c>
      <c r="I18" s="2">
        <v>12619230</v>
      </c>
      <c r="J18" s="2">
        <f t="shared" si="1"/>
        <v>16589107</v>
      </c>
      <c r="K18" s="2">
        <v>45120069</v>
      </c>
      <c r="L18" s="3">
        <f>2006749404/45120069</f>
        <v>44.475760974567656</v>
      </c>
      <c r="M18" s="3">
        <f t="shared" si="0"/>
        <v>51.185505893249861</v>
      </c>
    </row>
    <row r="19" spans="1:13" x14ac:dyDescent="0.25">
      <c r="A19" t="s">
        <v>19</v>
      </c>
      <c r="B19" s="6" t="s">
        <v>204</v>
      </c>
      <c r="C19">
        <v>1981</v>
      </c>
      <c r="D19" t="s">
        <v>300</v>
      </c>
      <c r="E19" s="2">
        <v>79911927</v>
      </c>
      <c r="F19" s="2">
        <v>70758385</v>
      </c>
      <c r="G19" s="2">
        <v>59440691</v>
      </c>
      <c r="H19" s="3">
        <f>3005230119/70758385</f>
        <v>42.471717224750115</v>
      </c>
      <c r="I19" s="2">
        <v>7764827</v>
      </c>
      <c r="J19" s="2">
        <f t="shared" si="1"/>
        <v>12728065</v>
      </c>
      <c r="K19" s="2">
        <v>38947799</v>
      </c>
      <c r="L19" s="3">
        <f>1667672638/38947799</f>
        <v>42.818148414497053</v>
      </c>
      <c r="M19" s="3">
        <f t="shared" si="0"/>
        <v>55.043369065023171</v>
      </c>
    </row>
    <row r="20" spans="1:13" x14ac:dyDescent="0.25">
      <c r="A20" t="s">
        <v>20</v>
      </c>
      <c r="B20" s="6" t="s">
        <v>205</v>
      </c>
      <c r="C20">
        <v>1980</v>
      </c>
      <c r="D20" t="s">
        <v>300</v>
      </c>
      <c r="E20" s="2">
        <v>95480410</v>
      </c>
      <c r="F20" s="2">
        <v>86333340</v>
      </c>
      <c r="G20" s="2">
        <v>71669523</v>
      </c>
      <c r="H20" s="3">
        <f>3677737106/86333340</f>
        <v>42.599268208550718</v>
      </c>
      <c r="I20" s="2">
        <v>10938297</v>
      </c>
      <c r="J20" s="2">
        <f t="shared" si="1"/>
        <v>14805472</v>
      </c>
      <c r="K20" s="2">
        <v>45925754</v>
      </c>
      <c r="L20" s="3">
        <f>1973216974/45925754</f>
        <v>42.965369147777082</v>
      </c>
      <c r="M20" s="3">
        <f t="shared" si="0"/>
        <v>53.195849946266414</v>
      </c>
    </row>
    <row r="21" spans="1:13" x14ac:dyDescent="0.25">
      <c r="A21" t="s">
        <v>21</v>
      </c>
      <c r="B21" s="6" t="s">
        <v>214</v>
      </c>
      <c r="C21">
        <v>1947</v>
      </c>
      <c r="D21" t="s">
        <v>300</v>
      </c>
      <c r="E21" s="2">
        <v>68136109</v>
      </c>
      <c r="F21" s="2">
        <v>33156858</v>
      </c>
      <c r="G21" s="2">
        <v>29014069</v>
      </c>
      <c r="H21" s="3">
        <f>1133700818/33156858</f>
        <v>34.192046122102404</v>
      </c>
      <c r="I21" s="2">
        <v>2428705</v>
      </c>
      <c r="J21" s="2">
        <f t="shared" si="1"/>
        <v>8414642</v>
      </c>
      <c r="K21" s="2">
        <v>18170722</v>
      </c>
      <c r="L21" s="3">
        <f>627207475/18170722</f>
        <v>34.51747679591378</v>
      </c>
      <c r="M21" s="3">
        <f t="shared" si="0"/>
        <v>54.802303644090763</v>
      </c>
    </row>
    <row r="22" spans="1:13" x14ac:dyDescent="0.25">
      <c r="A22" t="s">
        <v>22</v>
      </c>
      <c r="B22" s="6" t="s">
        <v>215</v>
      </c>
      <c r="C22">
        <v>1947</v>
      </c>
      <c r="D22" t="s">
        <v>300</v>
      </c>
      <c r="E22" s="2">
        <v>98616664</v>
      </c>
      <c r="F22" s="2">
        <v>57391015</v>
      </c>
      <c r="G22" s="2">
        <v>50101640</v>
      </c>
      <c r="H22" s="3">
        <f>2117376479/57391015</f>
        <v>36.893867080064709</v>
      </c>
      <c r="I22" s="2">
        <v>7208391</v>
      </c>
      <c r="J22" s="2">
        <f t="shared" si="1"/>
        <v>13206020</v>
      </c>
      <c r="K22" s="2">
        <v>29687229</v>
      </c>
      <c r="L22" s="3">
        <f>1117795079/29687229</f>
        <v>37.652388473171413</v>
      </c>
      <c r="M22" s="3">
        <f t="shared" si="0"/>
        <v>51.728008295375162</v>
      </c>
    </row>
    <row r="23" spans="1:13" x14ac:dyDescent="0.25">
      <c r="A23" t="s">
        <v>23</v>
      </c>
      <c r="B23" s="6" t="s">
        <v>216</v>
      </c>
      <c r="C23">
        <v>1946</v>
      </c>
      <c r="D23" t="s">
        <v>300</v>
      </c>
      <c r="E23" s="2">
        <v>91540841</v>
      </c>
      <c r="F23" s="2">
        <v>55620482</v>
      </c>
      <c r="G23" s="2">
        <v>49150468</v>
      </c>
      <c r="H23" s="3">
        <f>1801449309/55620482</f>
        <v>32.388236207661777</v>
      </c>
      <c r="I23" s="2">
        <v>5167093</v>
      </c>
      <c r="J23" s="2">
        <f t="shared" si="1"/>
        <v>13430005</v>
      </c>
      <c r="K23" s="2">
        <v>30553370</v>
      </c>
      <c r="L23" s="3">
        <f>1008617109/30553370</f>
        <v>33.011648436817282</v>
      </c>
      <c r="M23" s="3">
        <f t="shared" si="0"/>
        <v>54.93186844371467</v>
      </c>
    </row>
    <row r="24" spans="1:13" x14ac:dyDescent="0.25">
      <c r="A24" t="s">
        <v>24</v>
      </c>
      <c r="B24" s="6" t="s">
        <v>217</v>
      </c>
      <c r="C24">
        <v>1950</v>
      </c>
      <c r="D24" t="s">
        <v>300</v>
      </c>
      <c r="E24" s="2">
        <v>96845810</v>
      </c>
      <c r="F24" s="2">
        <v>57642224</v>
      </c>
      <c r="G24" s="2">
        <v>51426083</v>
      </c>
      <c r="H24" s="3">
        <f>1838928502/57642224</f>
        <v>31.902455776168527</v>
      </c>
      <c r="I24" s="2">
        <v>5659499</v>
      </c>
      <c r="J24" s="2">
        <f t="shared" si="1"/>
        <v>14663528</v>
      </c>
      <c r="K24" s="2">
        <v>31103056</v>
      </c>
      <c r="L24" s="3">
        <f>1013073318/31103056</f>
        <v>32.571504163449404</v>
      </c>
      <c r="M24" s="3">
        <f t="shared" si="0"/>
        <v>53.958806308375607</v>
      </c>
    </row>
    <row r="25" spans="1:13" x14ac:dyDescent="0.25">
      <c r="A25" t="s">
        <v>25</v>
      </c>
      <c r="B25" s="6" t="s">
        <v>218</v>
      </c>
      <c r="C25">
        <v>1950</v>
      </c>
      <c r="D25" t="s">
        <v>300</v>
      </c>
      <c r="E25" s="2">
        <v>101465236</v>
      </c>
      <c r="F25" s="2">
        <v>70336622</v>
      </c>
      <c r="G25" s="2">
        <v>61616112</v>
      </c>
      <c r="H25" s="3">
        <f>2353577220/70336622</f>
        <v>33.461618614553309</v>
      </c>
      <c r="I25" s="2">
        <v>6494975</v>
      </c>
      <c r="J25" s="2">
        <f t="shared" si="1"/>
        <v>16419587</v>
      </c>
      <c r="K25" s="2">
        <v>38701550</v>
      </c>
      <c r="L25" s="3">
        <f>1323710644/38701550</f>
        <v>34.20303951650515</v>
      </c>
      <c r="M25" s="3">
        <f t="shared" si="0"/>
        <v>55.023327677010137</v>
      </c>
    </row>
    <row r="26" spans="1:13" x14ac:dyDescent="0.25">
      <c r="A26" t="s">
        <v>26</v>
      </c>
      <c r="B26" s="6" t="s">
        <v>219</v>
      </c>
      <c r="C26">
        <v>1951</v>
      </c>
      <c r="D26" t="s">
        <v>300</v>
      </c>
      <c r="E26" s="2">
        <v>75339194</v>
      </c>
      <c r="F26" s="2">
        <v>49965438</v>
      </c>
      <c r="G26" s="2">
        <v>43977398</v>
      </c>
      <c r="H26" s="3">
        <f>1702033280/49965438</f>
        <v>34.064212146003804</v>
      </c>
      <c r="I26" s="2">
        <v>3906213</v>
      </c>
      <c r="J26" s="2">
        <f t="shared" si="1"/>
        <v>11574633</v>
      </c>
      <c r="K26" s="2">
        <v>28496552</v>
      </c>
      <c r="L26" s="3">
        <f>988704206/28496552</f>
        <v>34.695573204786321</v>
      </c>
      <c r="M26" s="3">
        <f t="shared" si="0"/>
        <v>57.032527164076896</v>
      </c>
    </row>
    <row r="27" spans="1:13" x14ac:dyDescent="0.25">
      <c r="A27" t="s">
        <v>27</v>
      </c>
      <c r="B27" s="6" t="s">
        <v>192</v>
      </c>
      <c r="C27">
        <v>1952</v>
      </c>
      <c r="D27" t="s">
        <v>300</v>
      </c>
      <c r="E27" s="2">
        <v>202268528</v>
      </c>
      <c r="F27" s="2">
        <v>78467606</v>
      </c>
      <c r="G27" s="2">
        <v>69393839</v>
      </c>
      <c r="H27" s="3">
        <f>2320837773/78467606</f>
        <v>29.577017718623914</v>
      </c>
      <c r="I27" s="2">
        <v>9245752</v>
      </c>
      <c r="J27" s="2">
        <f t="shared" si="1"/>
        <v>19805151</v>
      </c>
      <c r="K27" s="2">
        <v>40342936</v>
      </c>
      <c r="L27" s="3">
        <f>1215603871/40342936</f>
        <v>30.131765100090881</v>
      </c>
      <c r="M27" s="3">
        <f t="shared" si="0"/>
        <v>51.413491575109347</v>
      </c>
    </row>
    <row r="28" spans="1:13" x14ac:dyDescent="0.25">
      <c r="A28" t="s">
        <v>28</v>
      </c>
      <c r="B28" s="6" t="s">
        <v>220</v>
      </c>
      <c r="C28">
        <v>1955</v>
      </c>
      <c r="D28" t="s">
        <v>300</v>
      </c>
      <c r="E28" s="2">
        <v>79879934</v>
      </c>
      <c r="F28" s="2">
        <v>52160285</v>
      </c>
      <c r="G28" s="2">
        <v>45737898</v>
      </c>
      <c r="H28" s="3">
        <f>1768453745/52160285</f>
        <v>33.904219369200149</v>
      </c>
      <c r="I28" s="2">
        <v>4100700</v>
      </c>
      <c r="J28" s="2">
        <f t="shared" si="1"/>
        <v>12064599</v>
      </c>
      <c r="K28" s="2">
        <v>29572599</v>
      </c>
      <c r="L28" s="3">
        <f>1023023624/29572599</f>
        <v>34.593632571827726</v>
      </c>
      <c r="M28" s="3">
        <f t="shared" si="0"/>
        <v>56.695623883190059</v>
      </c>
    </row>
    <row r="29" spans="1:13" x14ac:dyDescent="0.25">
      <c r="A29" t="s">
        <v>29</v>
      </c>
      <c r="B29" s="6" t="s">
        <v>191</v>
      </c>
      <c r="C29">
        <v>1948</v>
      </c>
      <c r="D29" t="s">
        <v>300</v>
      </c>
      <c r="E29" s="2">
        <v>183588438</v>
      </c>
      <c r="F29" s="2">
        <v>111772643</v>
      </c>
      <c r="G29" s="2">
        <v>94060601</v>
      </c>
      <c r="H29" s="3">
        <f>3922863722/111772643</f>
        <v>35.096814539851223</v>
      </c>
      <c r="I29" s="2">
        <v>20800796</v>
      </c>
      <c r="J29" s="2">
        <f t="shared" si="1"/>
        <v>23093036</v>
      </c>
      <c r="K29" s="2">
        <v>50166769</v>
      </c>
      <c r="L29" s="3">
        <f>1781006978/50166769</f>
        <v>35.501727807106732</v>
      </c>
      <c r="M29" s="3">
        <f t="shared" si="0"/>
        <v>44.882869057681674</v>
      </c>
    </row>
    <row r="30" spans="1:13" x14ac:dyDescent="0.25">
      <c r="A30" t="s">
        <v>30</v>
      </c>
      <c r="B30" s="6" t="s">
        <v>221</v>
      </c>
      <c r="C30">
        <v>1947</v>
      </c>
      <c r="D30" t="s">
        <v>300</v>
      </c>
      <c r="E30" s="2">
        <v>65683176</v>
      </c>
      <c r="F30" s="2">
        <v>58039591</v>
      </c>
      <c r="G30" s="2">
        <v>47670254</v>
      </c>
      <c r="H30" s="3">
        <f>2386508075/58039591</f>
        <v>41.118623234267794</v>
      </c>
      <c r="I30" s="2">
        <v>5196754</v>
      </c>
      <c r="J30" s="2">
        <f t="shared" si="1"/>
        <v>11044999</v>
      </c>
      <c r="K30" s="2">
        <v>31428501</v>
      </c>
      <c r="L30" s="3">
        <f>1298897074/31428501</f>
        <v>41.32863587735222</v>
      </c>
      <c r="M30" s="3">
        <f t="shared" si="0"/>
        <v>54.150107639455968</v>
      </c>
    </row>
    <row r="31" spans="1:13" x14ac:dyDescent="0.25">
      <c r="A31" t="s">
        <v>31</v>
      </c>
      <c r="B31" s="6" t="s">
        <v>206</v>
      </c>
      <c r="C31">
        <v>1945</v>
      </c>
      <c r="D31" t="s">
        <v>300</v>
      </c>
      <c r="E31" s="2">
        <v>133766706</v>
      </c>
      <c r="F31" s="2">
        <v>115229019</v>
      </c>
      <c r="G31" s="2">
        <v>91442993</v>
      </c>
      <c r="H31" s="3">
        <f>4471085377/115229019</f>
        <v>38.801730812270478</v>
      </c>
      <c r="I31" s="2">
        <v>20117970</v>
      </c>
      <c r="J31" s="2">
        <f t="shared" si="1"/>
        <v>19596661</v>
      </c>
      <c r="K31" s="2">
        <v>51728362</v>
      </c>
      <c r="L31" s="3">
        <f>2048335304/51728362</f>
        <v>39.59791543370347</v>
      </c>
      <c r="M31" s="3">
        <f t="shared" si="0"/>
        <v>44.891783726805834</v>
      </c>
    </row>
    <row r="32" spans="1:13" x14ac:dyDescent="0.25">
      <c r="A32" t="s">
        <v>32</v>
      </c>
      <c r="B32" s="6" t="s">
        <v>207</v>
      </c>
      <c r="C32">
        <v>1948</v>
      </c>
      <c r="D32" t="s">
        <v>300</v>
      </c>
      <c r="E32" s="2">
        <v>89392913</v>
      </c>
      <c r="F32" s="2">
        <v>74518237</v>
      </c>
      <c r="G32" s="2">
        <v>31011682</v>
      </c>
      <c r="H32" s="3">
        <f>2846865908/74518237</f>
        <v>38.203613271205008</v>
      </c>
      <c r="I32" s="2">
        <v>4213275</v>
      </c>
      <c r="J32" s="2">
        <f t="shared" si="1"/>
        <v>8535048</v>
      </c>
      <c r="K32" s="2">
        <v>18263359</v>
      </c>
      <c r="L32" s="3">
        <f>676388412/18263359</f>
        <v>37.035268922874486</v>
      </c>
      <c r="M32" s="3">
        <f t="shared" si="0"/>
        <v>24.508576336823428</v>
      </c>
    </row>
    <row r="33" spans="1:13" x14ac:dyDescent="0.25">
      <c r="A33" t="s">
        <v>33</v>
      </c>
      <c r="B33" s="6" t="s">
        <v>208</v>
      </c>
      <c r="C33">
        <v>1954</v>
      </c>
      <c r="D33" t="s">
        <v>300</v>
      </c>
      <c r="E33" s="2">
        <v>172739145</v>
      </c>
      <c r="F33" s="2">
        <v>160461511</v>
      </c>
      <c r="G33" s="2">
        <v>131010314</v>
      </c>
      <c r="H33" s="3">
        <f>6896238445/160461511</f>
        <v>42.977524030669258</v>
      </c>
      <c r="I33" s="2">
        <v>37373498</v>
      </c>
      <c r="J33" s="2">
        <f t="shared" si="1"/>
        <v>24634648</v>
      </c>
      <c r="K33" s="2">
        <v>69002168</v>
      </c>
      <c r="L33" s="3">
        <f>3013158787/69002168</f>
        <v>43.667595879016439</v>
      </c>
      <c r="M33" s="3">
        <f t="shared" si="0"/>
        <v>43.002317234816516</v>
      </c>
    </row>
    <row r="34" spans="1:13" x14ac:dyDescent="0.25">
      <c r="A34" t="s">
        <v>34</v>
      </c>
      <c r="B34" s="6" t="s">
        <v>209</v>
      </c>
      <c r="C34">
        <v>1947</v>
      </c>
      <c r="D34" t="s">
        <v>300</v>
      </c>
      <c r="E34" s="2">
        <v>71507396</v>
      </c>
      <c r="F34" s="4">
        <v>62074113</v>
      </c>
      <c r="G34" s="4">
        <v>51691925</v>
      </c>
      <c r="H34" s="5">
        <f>2556526084/62074113</f>
        <v>41.185060252089308</v>
      </c>
      <c r="I34" s="4">
        <v>9481794</v>
      </c>
      <c r="J34" s="2">
        <f t="shared" si="1"/>
        <v>12806833</v>
      </c>
      <c r="K34" s="4">
        <v>29403298</v>
      </c>
      <c r="L34" s="5">
        <f>1214826629/29403298</f>
        <v>41.315998939982855</v>
      </c>
      <c r="M34" s="3">
        <f t="shared" si="0"/>
        <v>47.36805179962861</v>
      </c>
    </row>
    <row r="35" spans="1:13" x14ac:dyDescent="0.25">
      <c r="A35" t="s">
        <v>35</v>
      </c>
      <c r="B35" s="6" t="s">
        <v>210</v>
      </c>
      <c r="C35">
        <v>1945</v>
      </c>
      <c r="D35" t="s">
        <v>300</v>
      </c>
      <c r="E35" s="2">
        <v>80276099</v>
      </c>
      <c r="F35" s="2">
        <v>70447656</v>
      </c>
      <c r="G35" s="2">
        <v>58471028</v>
      </c>
      <c r="H35" s="3">
        <f>2913219764/70447656</f>
        <v>41.352969416044161</v>
      </c>
      <c r="I35" s="2">
        <v>11521151</v>
      </c>
      <c r="J35" s="2">
        <f t="shared" si="1"/>
        <v>14293826</v>
      </c>
      <c r="K35" s="2">
        <v>32656051</v>
      </c>
      <c r="L35" s="3">
        <f>1354376969/32656051</f>
        <v>41.47399723867408</v>
      </c>
      <c r="M35" s="3">
        <f t="shared" si="0"/>
        <v>46.35505686661881</v>
      </c>
    </row>
    <row r="36" spans="1:13" x14ac:dyDescent="0.25">
      <c r="A36" t="s">
        <v>36</v>
      </c>
      <c r="B36" s="6" t="s">
        <v>211</v>
      </c>
      <c r="C36">
        <v>1946</v>
      </c>
      <c r="D36" t="s">
        <v>300</v>
      </c>
      <c r="E36" s="2">
        <v>75804106</v>
      </c>
      <c r="F36" s="2">
        <v>69752198</v>
      </c>
      <c r="G36" s="2">
        <v>58393613</v>
      </c>
      <c r="H36" s="3">
        <f>2843885153/69752198</f>
        <v>40.771262190189333</v>
      </c>
      <c r="I36" s="2">
        <v>10519595</v>
      </c>
      <c r="J36" s="2">
        <f t="shared" si="1"/>
        <v>13006818</v>
      </c>
      <c r="K36" s="2">
        <v>34867200</v>
      </c>
      <c r="L36" s="3">
        <f>1429781353/34867200</f>
        <v>41.006486124495225</v>
      </c>
      <c r="M36" s="3">
        <f t="shared" si="0"/>
        <v>49.987241979098634</v>
      </c>
    </row>
    <row r="37" spans="1:13" x14ac:dyDescent="0.25">
      <c r="A37" t="s">
        <v>37</v>
      </c>
      <c r="B37" s="6" t="s">
        <v>212</v>
      </c>
      <c r="C37">
        <v>1948</v>
      </c>
      <c r="D37" t="s">
        <v>300</v>
      </c>
      <c r="E37" s="2">
        <v>89094687</v>
      </c>
      <c r="F37" s="2">
        <v>82373310</v>
      </c>
      <c r="G37" s="2">
        <v>68044616</v>
      </c>
      <c r="H37" s="3">
        <f>3362577567/82373310</f>
        <v>40.821202486582123</v>
      </c>
      <c r="I37" s="2">
        <v>12600906</v>
      </c>
      <c r="J37" s="2">
        <f t="shared" si="1"/>
        <v>13927851</v>
      </c>
      <c r="K37" s="2">
        <v>41515859</v>
      </c>
      <c r="L37" s="3">
        <f>1705910732/41515859</f>
        <v>41.090580156368681</v>
      </c>
      <c r="M37" s="3">
        <f t="shared" si="0"/>
        <v>50.39964886684777</v>
      </c>
    </row>
    <row r="38" spans="1:13" x14ac:dyDescent="0.25">
      <c r="A38" t="s">
        <v>38</v>
      </c>
      <c r="B38" s="6" t="s">
        <v>213</v>
      </c>
      <c r="C38">
        <v>1956</v>
      </c>
      <c r="D38" t="s">
        <v>300</v>
      </c>
      <c r="E38" s="2">
        <v>75453494</v>
      </c>
      <c r="F38" s="2">
        <v>56493978</v>
      </c>
      <c r="G38" s="2">
        <v>48001356</v>
      </c>
      <c r="H38" s="3">
        <f>2087493424/56493978</f>
        <v>36.950724624136043</v>
      </c>
      <c r="I38" s="2">
        <v>8422366</v>
      </c>
      <c r="J38" s="2">
        <f t="shared" si="1"/>
        <v>11601911</v>
      </c>
      <c r="K38" s="2">
        <v>27977079</v>
      </c>
      <c r="L38" s="3">
        <f>1039866735/27977079</f>
        <v>37.168524097887421</v>
      </c>
      <c r="M38" s="3">
        <f t="shared" si="0"/>
        <v>49.522232263410451</v>
      </c>
    </row>
    <row r="39" spans="1:13" x14ac:dyDescent="0.25">
      <c r="A39" t="s">
        <v>39</v>
      </c>
      <c r="B39" s="6" t="s">
        <v>222</v>
      </c>
      <c r="C39">
        <v>1948</v>
      </c>
      <c r="D39" t="s">
        <v>300</v>
      </c>
      <c r="E39" s="2">
        <v>76753516</v>
      </c>
      <c r="F39" s="2">
        <v>56044162</v>
      </c>
      <c r="G39" s="2">
        <v>47804146</v>
      </c>
      <c r="H39" s="3">
        <f>2147910051/56044162</f>
        <v>38.325313009408546</v>
      </c>
      <c r="I39" s="2">
        <v>7533559</v>
      </c>
      <c r="J39" s="2">
        <f t="shared" si="1"/>
        <v>11518541</v>
      </c>
      <c r="K39" s="2">
        <v>28752046</v>
      </c>
      <c r="L39" s="3">
        <f>1108473511/28752046</f>
        <v>38.552856760176304</v>
      </c>
      <c r="M39" s="3">
        <f t="shared" si="0"/>
        <v>51.302481782134599</v>
      </c>
    </row>
    <row r="40" spans="1:13" x14ac:dyDescent="0.25">
      <c r="A40" t="s">
        <v>40</v>
      </c>
      <c r="B40" s="6" t="s">
        <v>223</v>
      </c>
      <c r="C40">
        <v>1951</v>
      </c>
      <c r="D40" t="s">
        <v>300</v>
      </c>
      <c r="E40" s="2">
        <v>92465293</v>
      </c>
      <c r="F40" s="2">
        <v>56468910</v>
      </c>
      <c r="G40" s="2">
        <v>42357142</v>
      </c>
      <c r="H40" s="3">
        <f>1973867429/56468910</f>
        <v>34.954941205700621</v>
      </c>
      <c r="I40" s="2">
        <v>7636650</v>
      </c>
      <c r="J40" s="2">
        <f t="shared" si="1"/>
        <v>11314880</v>
      </c>
      <c r="K40" s="2">
        <v>23405612</v>
      </c>
      <c r="L40" s="3">
        <f>801146730/23405612</f>
        <v>34.228830675309837</v>
      </c>
      <c r="M40" s="3">
        <f t="shared" si="0"/>
        <v>41.448669719319888</v>
      </c>
    </row>
    <row r="41" spans="1:13" x14ac:dyDescent="0.25">
      <c r="A41" t="s">
        <v>41</v>
      </c>
      <c r="B41" s="6" t="s">
        <v>244</v>
      </c>
      <c r="C41">
        <v>1915</v>
      </c>
      <c r="D41" t="s">
        <v>300</v>
      </c>
      <c r="E41" s="2">
        <v>120584570</v>
      </c>
      <c r="F41" s="2">
        <v>65877595</v>
      </c>
      <c r="G41" s="2">
        <v>56913883</v>
      </c>
      <c r="H41" s="3">
        <f>2179904971/65877595</f>
        <v>33.090233045089157</v>
      </c>
      <c r="I41" s="2">
        <v>7897035</v>
      </c>
      <c r="J41" s="2">
        <f t="shared" si="1"/>
        <v>15823468</v>
      </c>
      <c r="K41" s="2">
        <v>33193380</v>
      </c>
      <c r="L41" s="3">
        <f>1110495843/33193380</f>
        <v>33.455340884236556</v>
      </c>
      <c r="M41" s="3">
        <f t="shared" si="0"/>
        <v>50.386447774846665</v>
      </c>
    </row>
    <row r="42" spans="1:13" x14ac:dyDescent="0.25">
      <c r="A42" t="s">
        <v>42</v>
      </c>
      <c r="B42" s="6" t="s">
        <v>245</v>
      </c>
      <c r="C42">
        <v>1915</v>
      </c>
      <c r="D42" t="s">
        <v>300</v>
      </c>
      <c r="E42" s="2">
        <v>88174804</v>
      </c>
      <c r="F42" s="2">
        <v>52144209</v>
      </c>
      <c r="G42" s="2">
        <v>44971476</v>
      </c>
      <c r="H42" s="3">
        <f>1747701533/52144209</f>
        <v>33.516694691830494</v>
      </c>
      <c r="I42" s="2">
        <v>4590774</v>
      </c>
      <c r="J42" s="2">
        <f t="shared" si="1"/>
        <v>13356206</v>
      </c>
      <c r="K42" s="2">
        <v>27024496</v>
      </c>
      <c r="L42" s="3">
        <f>912586623/27024496</f>
        <v>33.768867437897825</v>
      </c>
      <c r="M42" s="3">
        <f t="shared" si="0"/>
        <v>51.826456893803872</v>
      </c>
    </row>
    <row r="43" spans="1:13" x14ac:dyDescent="0.25">
      <c r="A43" t="s">
        <v>43</v>
      </c>
      <c r="B43" s="6" t="s">
        <v>246</v>
      </c>
      <c r="C43">
        <v>1915</v>
      </c>
      <c r="D43" t="s">
        <v>300</v>
      </c>
      <c r="E43" s="2">
        <v>83436875</v>
      </c>
      <c r="F43" s="2">
        <v>41494490</v>
      </c>
      <c r="G43" s="2">
        <v>36449292</v>
      </c>
      <c r="H43" s="3">
        <f>1309476165/41494490</f>
        <v>31.557832497760547</v>
      </c>
      <c r="I43" s="2">
        <v>2937567</v>
      </c>
      <c r="J43" s="2">
        <f t="shared" si="1"/>
        <v>10906722</v>
      </c>
      <c r="K43" s="2">
        <v>22605003</v>
      </c>
      <c r="L43" s="3">
        <f>721854854/22605003</f>
        <v>31.933411112575389</v>
      </c>
      <c r="M43" s="3">
        <f t="shared" si="0"/>
        <v>54.477119733246518</v>
      </c>
    </row>
    <row r="44" spans="1:13" x14ac:dyDescent="0.25">
      <c r="A44" t="s">
        <v>44</v>
      </c>
      <c r="B44" s="6" t="s">
        <v>247</v>
      </c>
      <c r="C44">
        <v>1915</v>
      </c>
      <c r="D44" t="s">
        <v>300</v>
      </c>
      <c r="E44" s="2">
        <v>95722006</v>
      </c>
      <c r="F44" s="2">
        <v>58336977</v>
      </c>
      <c r="G44" s="2">
        <v>50950350</v>
      </c>
      <c r="H44" s="3">
        <f>1876501797/58336977</f>
        <v>32.166593016981324</v>
      </c>
      <c r="I44" s="2">
        <v>5057631</v>
      </c>
      <c r="J44" s="2">
        <f t="shared" si="1"/>
        <v>13923776</v>
      </c>
      <c r="K44" s="2">
        <v>31968943</v>
      </c>
      <c r="L44" s="3">
        <f>1045460235/31968943</f>
        <v>32.702371016770869</v>
      </c>
      <c r="M44" s="3">
        <f t="shared" si="0"/>
        <v>54.800479291204965</v>
      </c>
    </row>
    <row r="45" spans="1:13" x14ac:dyDescent="0.25">
      <c r="A45" t="s">
        <v>45</v>
      </c>
      <c r="B45" s="6" t="s">
        <v>248</v>
      </c>
      <c r="C45">
        <v>1915</v>
      </c>
      <c r="D45" t="s">
        <v>300</v>
      </c>
      <c r="E45" s="2">
        <v>74558022</v>
      </c>
      <c r="F45" s="2">
        <v>42590053</v>
      </c>
      <c r="G45" s="2">
        <v>37097138</v>
      </c>
      <c r="H45" s="3">
        <f>1368344192/42590053</f>
        <v>32.128257553471464</v>
      </c>
      <c r="I45" s="2">
        <v>3269939</v>
      </c>
      <c r="J45" s="2">
        <f t="shared" si="1"/>
        <v>10857879</v>
      </c>
      <c r="K45" s="2">
        <v>22969320</v>
      </c>
      <c r="L45" s="3">
        <f>745284431/22969320</f>
        <v>32.446952325972212</v>
      </c>
      <c r="M45" s="3">
        <f t="shared" si="0"/>
        <v>53.93118435424347</v>
      </c>
    </row>
    <row r="46" spans="1:13" x14ac:dyDescent="0.25">
      <c r="A46" t="s">
        <v>46</v>
      </c>
      <c r="B46" s="6" t="s">
        <v>249</v>
      </c>
      <c r="C46">
        <v>1915</v>
      </c>
      <c r="D46" t="s">
        <v>300</v>
      </c>
      <c r="E46" s="2">
        <v>108503117</v>
      </c>
      <c r="F46" s="2">
        <v>58348002</v>
      </c>
      <c r="G46" s="2">
        <v>51335715</v>
      </c>
      <c r="H46" s="3">
        <f>1832089951/58348002</f>
        <v>31.399360529945824</v>
      </c>
      <c r="I46" s="2">
        <v>5714818</v>
      </c>
      <c r="J46" s="2">
        <f t="shared" si="1"/>
        <v>14749918</v>
      </c>
      <c r="K46" s="2">
        <v>30870979</v>
      </c>
      <c r="L46" s="3">
        <f>982026880/30870979</f>
        <v>31.810681481789093</v>
      </c>
      <c r="M46" s="3">
        <f t="shared" si="0"/>
        <v>52.908373794873043</v>
      </c>
    </row>
    <row r="47" spans="1:13" x14ac:dyDescent="0.25">
      <c r="A47" t="s">
        <v>47</v>
      </c>
      <c r="B47" s="6" t="s">
        <v>250</v>
      </c>
      <c r="C47">
        <v>1915</v>
      </c>
      <c r="D47" t="s">
        <v>300</v>
      </c>
      <c r="E47" s="2">
        <v>94289804</v>
      </c>
      <c r="F47" s="2">
        <v>52607301</v>
      </c>
      <c r="G47" s="2">
        <v>46510299</v>
      </c>
      <c r="H47" s="3">
        <f>1664818658/52607301</f>
        <v>31.646152270765612</v>
      </c>
      <c r="I47" s="2">
        <v>4657764</v>
      </c>
      <c r="J47" s="2">
        <f t="shared" si="1"/>
        <v>13413369</v>
      </c>
      <c r="K47" s="2">
        <v>28439166</v>
      </c>
      <c r="L47" s="3">
        <f>916652827/28439166</f>
        <v>32.232057262157404</v>
      </c>
      <c r="M47" s="3">
        <f t="shared" si="0"/>
        <v>54.059351951927738</v>
      </c>
    </row>
    <row r="48" spans="1:13" x14ac:dyDescent="0.25">
      <c r="A48" t="s">
        <v>48</v>
      </c>
      <c r="B48" s="6" t="s">
        <v>251</v>
      </c>
      <c r="C48">
        <v>1915</v>
      </c>
      <c r="D48" t="s">
        <v>300</v>
      </c>
      <c r="E48" s="2">
        <v>104884421</v>
      </c>
      <c r="F48" s="2">
        <v>71132523</v>
      </c>
      <c r="G48" s="2">
        <v>59809889</v>
      </c>
      <c r="H48" s="3">
        <f>2514642389/71132523</f>
        <v>35.351514088710168</v>
      </c>
      <c r="I48" s="2">
        <v>11262839</v>
      </c>
      <c r="J48" s="2">
        <f t="shared" si="1"/>
        <v>14768819</v>
      </c>
      <c r="K48" s="2">
        <v>33778231</v>
      </c>
      <c r="L48" s="3">
        <f>1191723497/33778231</f>
        <v>35.280814350520608</v>
      </c>
      <c r="M48" s="3">
        <f t="shared" si="0"/>
        <v>47.486338984489556</v>
      </c>
    </row>
    <row r="49" spans="1:13" x14ac:dyDescent="0.25">
      <c r="A49" t="s">
        <v>49</v>
      </c>
      <c r="B49" s="6" t="s">
        <v>252</v>
      </c>
      <c r="C49">
        <v>1915</v>
      </c>
      <c r="D49" t="s">
        <v>300</v>
      </c>
      <c r="E49" s="2">
        <v>121223541</v>
      </c>
      <c r="F49" s="2">
        <v>95847686</v>
      </c>
      <c r="G49" s="2">
        <v>78847047</v>
      </c>
      <c r="H49" s="3">
        <f>3477996379/95847686</f>
        <v>36.286701579837825</v>
      </c>
      <c r="I49" s="2">
        <v>12824492</v>
      </c>
      <c r="J49" s="2">
        <f t="shared" si="1"/>
        <v>19604266</v>
      </c>
      <c r="K49" s="2">
        <v>46418289</v>
      </c>
      <c r="L49" s="3">
        <f>1694737507/46418289</f>
        <v>36.510124425310032</v>
      </c>
      <c r="M49" s="3">
        <f t="shared" si="0"/>
        <v>48.42922238101815</v>
      </c>
    </row>
    <row r="50" spans="1:13" x14ac:dyDescent="0.25">
      <c r="A50" t="s">
        <v>50</v>
      </c>
      <c r="B50" s="6" t="s">
        <v>224</v>
      </c>
      <c r="C50">
        <v>1915</v>
      </c>
      <c r="D50" t="s">
        <v>300</v>
      </c>
      <c r="E50" s="2">
        <v>69084437</v>
      </c>
      <c r="F50" s="2">
        <v>52241580</v>
      </c>
      <c r="G50" s="2">
        <v>44421160</v>
      </c>
      <c r="H50" s="3">
        <f>1914493317/52241580</f>
        <v>36.646926011808986</v>
      </c>
      <c r="I50" s="2">
        <v>5672698</v>
      </c>
      <c r="J50" s="2">
        <f t="shared" si="1"/>
        <v>11618366</v>
      </c>
      <c r="K50" s="2">
        <v>27130096</v>
      </c>
      <c r="L50" s="3">
        <f>998931704/27130096</f>
        <v>36.820057842773572</v>
      </c>
      <c r="M50" s="3">
        <f t="shared" si="0"/>
        <v>51.931997462557597</v>
      </c>
    </row>
    <row r="51" spans="1:13" x14ac:dyDescent="0.25">
      <c r="A51" t="s">
        <v>51</v>
      </c>
      <c r="B51" s="6" t="s">
        <v>225</v>
      </c>
      <c r="C51">
        <v>1915</v>
      </c>
      <c r="D51" t="s">
        <v>300</v>
      </c>
      <c r="E51" s="2">
        <v>64497294</v>
      </c>
      <c r="F51" s="2">
        <v>51933795</v>
      </c>
      <c r="G51" s="2">
        <v>44771624</v>
      </c>
      <c r="H51" s="3">
        <f>1976318284/51933795</f>
        <v>38.054570901279213</v>
      </c>
      <c r="I51" s="2">
        <v>4559104</v>
      </c>
      <c r="J51" s="2">
        <f t="shared" si="1"/>
        <v>11900873</v>
      </c>
      <c r="K51" s="2">
        <v>28311647</v>
      </c>
      <c r="L51" s="3">
        <f>1095339098/28311647</f>
        <v>38.688639272734648</v>
      </c>
      <c r="M51" s="3">
        <f t="shared" si="0"/>
        <v>54.514881879901132</v>
      </c>
    </row>
    <row r="52" spans="1:13" x14ac:dyDescent="0.25">
      <c r="A52" t="s">
        <v>52</v>
      </c>
      <c r="B52" s="6" t="s">
        <v>226</v>
      </c>
      <c r="C52">
        <v>1916</v>
      </c>
      <c r="D52" t="s">
        <v>300</v>
      </c>
      <c r="E52" s="2">
        <v>127583750</v>
      </c>
      <c r="F52" s="2">
        <v>109546534</v>
      </c>
      <c r="G52" s="2">
        <v>92844815</v>
      </c>
      <c r="H52" s="3">
        <f>4130449047/109546534</f>
        <v>37.704972454902133</v>
      </c>
      <c r="I52" s="2">
        <v>16792897</v>
      </c>
      <c r="J52" s="2">
        <f t="shared" si="1"/>
        <v>19438074</v>
      </c>
      <c r="K52" s="2">
        <v>56613844</v>
      </c>
      <c r="L52" s="3">
        <f>2171884581/56613844</f>
        <v>38.363135719948637</v>
      </c>
      <c r="M52" s="3">
        <f t="shared" si="0"/>
        <v>51.680178215405704</v>
      </c>
    </row>
    <row r="53" spans="1:13" x14ac:dyDescent="0.25">
      <c r="A53" t="s">
        <v>53</v>
      </c>
      <c r="B53" s="6" t="s">
        <v>227</v>
      </c>
      <c r="C53">
        <v>1915</v>
      </c>
      <c r="D53" t="s">
        <v>300</v>
      </c>
      <c r="E53" s="2">
        <v>51588978</v>
      </c>
      <c r="F53" s="2">
        <v>41503253</v>
      </c>
      <c r="G53" s="2">
        <v>35141637</v>
      </c>
      <c r="H53" s="3">
        <f>1529906913/41503253</f>
        <v>36.862337344978719</v>
      </c>
      <c r="I53" s="2">
        <v>4779914</v>
      </c>
      <c r="J53" s="2">
        <f t="shared" si="1"/>
        <v>9061644</v>
      </c>
      <c r="K53" s="2">
        <v>21300079</v>
      </c>
      <c r="L53" s="3">
        <f>789381924/21300079</f>
        <v>37.060046772596479</v>
      </c>
      <c r="M53" s="3">
        <f t="shared" si="0"/>
        <v>51.321468705115713</v>
      </c>
    </row>
    <row r="54" spans="1:13" x14ac:dyDescent="0.25">
      <c r="A54" t="s">
        <v>54</v>
      </c>
      <c r="B54" s="6" t="s">
        <v>228</v>
      </c>
      <c r="C54">
        <v>1911</v>
      </c>
      <c r="D54" t="s">
        <v>300</v>
      </c>
      <c r="E54" s="2">
        <v>146096443</v>
      </c>
      <c r="F54" s="2">
        <v>122873267</v>
      </c>
      <c r="G54" s="2">
        <v>104750617</v>
      </c>
      <c r="H54" s="3">
        <f>4531883277/122873267</f>
        <v>36.882581440599282</v>
      </c>
      <c r="I54" s="2">
        <v>25341513</v>
      </c>
      <c r="J54" s="2">
        <f t="shared" si="1"/>
        <v>23986713</v>
      </c>
      <c r="K54" s="2">
        <v>55422391</v>
      </c>
      <c r="L54" s="3">
        <f>2082484360/55422391</f>
        <v>37.574783808948261</v>
      </c>
      <c r="M54" s="3">
        <f t="shared" si="0"/>
        <v>45.105328728664794</v>
      </c>
    </row>
    <row r="55" spans="1:13" x14ac:dyDescent="0.25">
      <c r="A55" t="s">
        <v>55</v>
      </c>
      <c r="B55" s="6" t="s">
        <v>229</v>
      </c>
      <c r="C55">
        <v>1914</v>
      </c>
      <c r="D55" t="s">
        <v>300</v>
      </c>
      <c r="E55" s="2">
        <v>90241004</v>
      </c>
      <c r="F55" s="2">
        <v>52512397</v>
      </c>
      <c r="G55" s="2">
        <v>43761789</v>
      </c>
      <c r="H55" s="3">
        <f>1752783759/52512397</f>
        <v>33.378475543594021</v>
      </c>
      <c r="I55" s="2">
        <v>6869865</v>
      </c>
      <c r="J55" s="2">
        <f t="shared" si="1"/>
        <v>11461693</v>
      </c>
      <c r="K55" s="2">
        <v>25430231</v>
      </c>
      <c r="L55" s="3">
        <f>848271736/25430231</f>
        <v>33.35682385268148</v>
      </c>
      <c r="M55" s="3">
        <f t="shared" si="0"/>
        <v>48.427099985551983</v>
      </c>
    </row>
    <row r="56" spans="1:13" x14ac:dyDescent="0.25">
      <c r="A56" t="s">
        <v>56</v>
      </c>
      <c r="B56" s="6" t="s">
        <v>230</v>
      </c>
      <c r="C56">
        <v>1911</v>
      </c>
      <c r="D56" t="s">
        <v>300</v>
      </c>
      <c r="E56" s="2">
        <v>92820575</v>
      </c>
      <c r="F56" s="2">
        <v>48791809</v>
      </c>
      <c r="G56" s="2">
        <v>42174717</v>
      </c>
      <c r="H56" s="3">
        <f>1605389032/48791809</f>
        <v>32.902838917081347</v>
      </c>
      <c r="I56" s="2">
        <v>6352534</v>
      </c>
      <c r="J56" s="2">
        <f t="shared" si="1"/>
        <v>11953399</v>
      </c>
      <c r="K56" s="2">
        <v>23868784</v>
      </c>
      <c r="L56" s="3">
        <f>790682615/23868784</f>
        <v>33.126221050892248</v>
      </c>
      <c r="M56" s="3">
        <f t="shared" si="0"/>
        <v>48.919653706629326</v>
      </c>
    </row>
    <row r="57" spans="1:13" x14ac:dyDescent="0.25">
      <c r="A57" t="s">
        <v>57</v>
      </c>
      <c r="B57" s="6" t="s">
        <v>231</v>
      </c>
      <c r="C57">
        <v>1911</v>
      </c>
      <c r="D57" t="s">
        <v>300</v>
      </c>
      <c r="E57" s="2">
        <v>106350164</v>
      </c>
      <c r="F57" s="2">
        <v>73806193</v>
      </c>
      <c r="G57" s="2">
        <v>52920193</v>
      </c>
      <c r="H57" s="3">
        <f>2619467509/73806193</f>
        <v>35.491161412430529</v>
      </c>
      <c r="I57" s="2">
        <v>9125613</v>
      </c>
      <c r="J57" s="2">
        <f t="shared" si="1"/>
        <v>13887082</v>
      </c>
      <c r="K57" s="2">
        <v>29907498</v>
      </c>
      <c r="L57" s="3">
        <f>1046738663/29907498</f>
        <v>34.999205316339065</v>
      </c>
      <c r="M57" s="3">
        <f t="shared" si="0"/>
        <v>40.521664625080987</v>
      </c>
    </row>
    <row r="58" spans="1:13" x14ac:dyDescent="0.25">
      <c r="A58" t="s">
        <v>58</v>
      </c>
      <c r="B58" s="6" t="s">
        <v>232</v>
      </c>
      <c r="C58">
        <v>1914</v>
      </c>
      <c r="D58" t="s">
        <v>300</v>
      </c>
      <c r="E58" s="2">
        <v>92332004</v>
      </c>
      <c r="F58" s="2">
        <v>69908859</v>
      </c>
      <c r="G58" s="2">
        <v>59214524</v>
      </c>
      <c r="H58" s="3">
        <f>2554445995/69908859</f>
        <v>36.539660803218084</v>
      </c>
      <c r="I58" s="2">
        <v>11146203</v>
      </c>
      <c r="J58" s="2">
        <f t="shared" si="1"/>
        <v>14644747</v>
      </c>
      <c r="K58" s="2">
        <v>33423574</v>
      </c>
      <c r="L58" s="3">
        <f>1232348622/33423574</f>
        <v>36.87064172131921</v>
      </c>
      <c r="M58" s="3">
        <f t="shared" si="0"/>
        <v>47.810212436738524</v>
      </c>
    </row>
    <row r="59" spans="1:13" x14ac:dyDescent="0.25">
      <c r="A59" t="s">
        <v>59</v>
      </c>
      <c r="B59" s="6" t="s">
        <v>233</v>
      </c>
      <c r="C59">
        <v>1912</v>
      </c>
      <c r="D59" t="s">
        <v>300</v>
      </c>
      <c r="E59" s="2">
        <v>14085640</v>
      </c>
      <c r="F59" s="2">
        <v>10688142</v>
      </c>
      <c r="G59" s="2">
        <v>8928378</v>
      </c>
      <c r="H59" s="3">
        <f>399298746/10688142</f>
        <v>37.359042011230763</v>
      </c>
      <c r="I59" s="2">
        <v>893560</v>
      </c>
      <c r="J59" s="2">
        <f t="shared" si="1"/>
        <v>2554588</v>
      </c>
      <c r="K59" s="2">
        <v>5480230</v>
      </c>
      <c r="L59" s="3">
        <f>203262357/5480230</f>
        <v>37.090114283524599</v>
      </c>
      <c r="M59" s="3">
        <f t="shared" si="0"/>
        <v>51.273925814234133</v>
      </c>
    </row>
    <row r="60" spans="1:13" x14ac:dyDescent="0.25">
      <c r="A60" t="s">
        <v>60</v>
      </c>
      <c r="B60" s="6" t="s">
        <v>234</v>
      </c>
      <c r="C60">
        <v>1915</v>
      </c>
      <c r="D60" t="s">
        <v>300</v>
      </c>
      <c r="E60" s="2">
        <v>80719348</v>
      </c>
      <c r="F60" s="2">
        <v>59591020</v>
      </c>
      <c r="G60" s="2">
        <v>50408655</v>
      </c>
      <c r="H60" s="3">
        <f>2155614110/59591020</f>
        <v>36.173472278205679</v>
      </c>
      <c r="I60" s="2">
        <v>6544729</v>
      </c>
      <c r="J60" s="2">
        <f t="shared" si="1"/>
        <v>12942651</v>
      </c>
      <c r="K60" s="2">
        <v>30921275</v>
      </c>
      <c r="L60" s="3">
        <f>1125381769/30921275</f>
        <v>36.395063560606737</v>
      </c>
      <c r="M60" s="3">
        <f t="shared" si="0"/>
        <v>51.8891520903653</v>
      </c>
    </row>
    <row r="61" spans="1:13" x14ac:dyDescent="0.25">
      <c r="A61" t="s">
        <v>61</v>
      </c>
      <c r="B61" s="6" t="s">
        <v>235</v>
      </c>
      <c r="C61">
        <v>1979</v>
      </c>
      <c r="D61" t="s">
        <v>300</v>
      </c>
      <c r="E61" s="2">
        <v>42516465</v>
      </c>
      <c r="F61" s="2">
        <v>18588056</v>
      </c>
      <c r="G61" s="2">
        <v>11728944</v>
      </c>
      <c r="H61" s="3">
        <f>644105187/18588056</f>
        <v>34.651562648616938</v>
      </c>
      <c r="I61" s="2">
        <v>2022455</v>
      </c>
      <c r="J61" s="2">
        <f t="shared" si="1"/>
        <v>4677713</v>
      </c>
      <c r="K61" s="2">
        <v>5028776</v>
      </c>
      <c r="L61" s="3">
        <f>146626730/5028776</f>
        <v>29.157538534227811</v>
      </c>
      <c r="M61" s="3">
        <f t="shared" si="0"/>
        <v>27.053802721489539</v>
      </c>
    </row>
    <row r="62" spans="1:13" x14ac:dyDescent="0.25">
      <c r="A62" t="s">
        <v>62</v>
      </c>
      <c r="B62" s="6" t="s">
        <v>236</v>
      </c>
      <c r="C62">
        <v>1979</v>
      </c>
      <c r="D62" t="s">
        <v>300</v>
      </c>
      <c r="E62" s="2">
        <v>72199996</v>
      </c>
      <c r="F62" s="2">
        <v>69349269</v>
      </c>
      <c r="G62" s="2">
        <v>53445586</v>
      </c>
      <c r="H62" s="3">
        <f>3123078829/69349269</f>
        <v>45.034055499561212</v>
      </c>
      <c r="I62" s="2">
        <v>9287511</v>
      </c>
      <c r="J62" s="2">
        <f t="shared" si="1"/>
        <v>14439052</v>
      </c>
      <c r="K62" s="2">
        <v>29719023</v>
      </c>
      <c r="L62" s="3">
        <f>1343714292/29719023</f>
        <v>45.213945693975205</v>
      </c>
      <c r="M62" s="3">
        <f t="shared" si="0"/>
        <v>42.854125830800029</v>
      </c>
    </row>
    <row r="63" spans="1:13" x14ac:dyDescent="0.25">
      <c r="A63" t="s">
        <v>63</v>
      </c>
      <c r="B63" s="6" t="s">
        <v>237</v>
      </c>
      <c r="C63">
        <v>1983</v>
      </c>
      <c r="D63" t="s">
        <v>300</v>
      </c>
      <c r="E63" s="2">
        <v>167384480</v>
      </c>
      <c r="F63" s="2">
        <v>156572806</v>
      </c>
      <c r="G63" s="2">
        <v>121998253</v>
      </c>
      <c r="H63" s="3">
        <f>6690326436/156572806</f>
        <v>42.729811178066257</v>
      </c>
      <c r="I63" s="2">
        <v>32992142</v>
      </c>
      <c r="J63" s="2">
        <f t="shared" si="1"/>
        <v>29320811</v>
      </c>
      <c r="K63" s="2">
        <v>59685300</v>
      </c>
      <c r="L63" s="3">
        <f>2587691704/59685300</f>
        <v>43.355595163298169</v>
      </c>
      <c r="M63" s="3">
        <f t="shared" si="0"/>
        <v>38.119838000476278</v>
      </c>
    </row>
    <row r="64" spans="1:13" x14ac:dyDescent="0.25">
      <c r="A64" t="s">
        <v>64</v>
      </c>
      <c r="B64" s="6" t="s">
        <v>238</v>
      </c>
      <c r="C64">
        <v>1982</v>
      </c>
      <c r="D64" t="s">
        <v>300</v>
      </c>
      <c r="E64" s="2">
        <v>94217280</v>
      </c>
      <c r="F64" s="2">
        <v>87816298</v>
      </c>
      <c r="G64" s="2">
        <v>67932882</v>
      </c>
      <c r="H64" s="3">
        <f>3662531894/87816298</f>
        <v>41.706744390431943</v>
      </c>
      <c r="I64" s="2">
        <v>12020997</v>
      </c>
      <c r="J64" s="2">
        <f t="shared" si="1"/>
        <v>18641108</v>
      </c>
      <c r="K64" s="2">
        <v>37270777</v>
      </c>
      <c r="L64" s="3">
        <f>1564157120/37270777</f>
        <v>41.967386942322129</v>
      </c>
      <c r="M64" s="3">
        <f t="shared" si="0"/>
        <v>42.441753807476601</v>
      </c>
    </row>
    <row r="65" spans="1:13" x14ac:dyDescent="0.25">
      <c r="A65" t="s">
        <v>65</v>
      </c>
      <c r="B65" s="6" t="s">
        <v>239</v>
      </c>
      <c r="C65">
        <v>1979</v>
      </c>
      <c r="D65" t="s">
        <v>300</v>
      </c>
      <c r="E65" s="2">
        <v>79313670</v>
      </c>
      <c r="F65" s="2">
        <v>74893482</v>
      </c>
      <c r="G65" s="2">
        <v>58095849</v>
      </c>
      <c r="H65" s="3">
        <f>3179390280/74893482</f>
        <v>42.452162659495521</v>
      </c>
      <c r="I65" s="2">
        <v>10038612</v>
      </c>
      <c r="J65" s="2">
        <f t="shared" si="1"/>
        <v>15148629</v>
      </c>
      <c r="K65" s="2">
        <v>32908608</v>
      </c>
      <c r="L65" s="3">
        <f>1408844169/32908608</f>
        <v>42.810810138186341</v>
      </c>
      <c r="M65" s="3">
        <f t="shared" si="0"/>
        <v>43.94055012691225</v>
      </c>
    </row>
    <row r="66" spans="1:13" x14ac:dyDescent="0.25">
      <c r="A66" t="s">
        <v>66</v>
      </c>
      <c r="B66" s="6" t="s">
        <v>240</v>
      </c>
      <c r="C66">
        <v>1979</v>
      </c>
      <c r="D66" t="s">
        <v>300</v>
      </c>
      <c r="E66" s="2">
        <v>149544315</v>
      </c>
      <c r="F66" s="2">
        <v>142372629</v>
      </c>
      <c r="G66" s="2">
        <v>110028112</v>
      </c>
      <c r="H66" s="3">
        <f>6326851167/142372629</f>
        <v>44.438676250053653</v>
      </c>
      <c r="I66" s="2">
        <v>29903372</v>
      </c>
      <c r="J66" s="2">
        <f t="shared" si="1"/>
        <v>25750045</v>
      </c>
      <c r="K66" s="2">
        <v>54374695</v>
      </c>
      <c r="L66" s="3">
        <f>2447821896/54374695</f>
        <v>45.017666692199377</v>
      </c>
      <c r="M66" s="3">
        <f t="shared" ref="M66:M118" si="2">(K66/F66)*100</f>
        <v>38.191817754520777</v>
      </c>
    </row>
    <row r="67" spans="1:13" x14ac:dyDescent="0.25">
      <c r="A67" t="s">
        <v>67</v>
      </c>
      <c r="B67" s="6" t="s">
        <v>241</v>
      </c>
      <c r="C67">
        <v>1977</v>
      </c>
      <c r="D67" t="s">
        <v>300</v>
      </c>
      <c r="E67" s="2">
        <v>64407659</v>
      </c>
      <c r="F67" s="2">
        <v>39284267</v>
      </c>
      <c r="G67" s="2">
        <v>23040709</v>
      </c>
      <c r="H67" s="3">
        <f>1429122417/39284267</f>
        <v>36.379001726059954</v>
      </c>
      <c r="I67" s="2">
        <v>4930976</v>
      </c>
      <c r="J67" s="2">
        <f t="shared" ref="J67:J127" si="3">G67-I67-K67</f>
        <v>8142934</v>
      </c>
      <c r="K67" s="2">
        <v>9966799</v>
      </c>
      <c r="L67" s="3">
        <f>322442983/9966799</f>
        <v>32.351709209747284</v>
      </c>
      <c r="M67" s="3">
        <f t="shared" si="2"/>
        <v>25.370968484660793</v>
      </c>
    </row>
    <row r="68" spans="1:13" x14ac:dyDescent="0.25">
      <c r="A68" t="s">
        <v>68</v>
      </c>
      <c r="B68" s="6" t="s">
        <v>242</v>
      </c>
      <c r="C68">
        <v>1982</v>
      </c>
      <c r="D68" t="s">
        <v>300</v>
      </c>
      <c r="E68" s="2">
        <v>118273340</v>
      </c>
      <c r="F68" s="2">
        <v>106547933</v>
      </c>
      <c r="G68" s="2">
        <v>83866872</v>
      </c>
      <c r="H68" s="3">
        <f>4356934391/106547933</f>
        <v>40.89177770346798</v>
      </c>
      <c r="I68" s="2">
        <v>17608873</v>
      </c>
      <c r="J68" s="2">
        <f t="shared" si="3"/>
        <v>22591099</v>
      </c>
      <c r="K68" s="2">
        <v>43666900</v>
      </c>
      <c r="L68" s="3">
        <f>1803136468/43666900</f>
        <v>41.292980907735604</v>
      </c>
      <c r="M68" s="3">
        <f t="shared" si="2"/>
        <v>40.983338456692536</v>
      </c>
    </row>
    <row r="69" spans="1:13" x14ac:dyDescent="0.25">
      <c r="A69" t="s">
        <v>69</v>
      </c>
      <c r="B69" s="6" t="s">
        <v>243</v>
      </c>
      <c r="C69">
        <v>1982</v>
      </c>
      <c r="D69" t="s">
        <v>300</v>
      </c>
      <c r="E69" s="2">
        <v>102045080</v>
      </c>
      <c r="F69" s="2">
        <v>89885598</v>
      </c>
      <c r="G69" s="2">
        <v>70782979</v>
      </c>
      <c r="H69" s="3">
        <f>3653588445/89885598</f>
        <v>40.647095044080366</v>
      </c>
      <c r="I69" s="2">
        <v>14242746</v>
      </c>
      <c r="J69" s="2">
        <f t="shared" si="3"/>
        <v>19578318</v>
      </c>
      <c r="K69" s="2">
        <v>36961915</v>
      </c>
      <c r="L69" s="3">
        <f>1513522778/36961915</f>
        <v>40.948169974418263</v>
      </c>
      <c r="M69" s="3">
        <f t="shared" si="2"/>
        <v>41.121064800614668</v>
      </c>
    </row>
    <row r="70" spans="1:13" x14ac:dyDescent="0.25">
      <c r="A70" t="s">
        <v>70</v>
      </c>
      <c r="B70" s="6" t="s">
        <v>253</v>
      </c>
      <c r="C70">
        <v>1980</v>
      </c>
      <c r="D70" t="s">
        <v>300</v>
      </c>
      <c r="E70" s="2">
        <v>143782867</v>
      </c>
      <c r="F70" s="2">
        <v>132865857</v>
      </c>
      <c r="G70" s="2">
        <v>103850884</v>
      </c>
      <c r="H70" s="3">
        <f>5862156291/132865857</f>
        <v>44.120863127387196</v>
      </c>
      <c r="I70" s="2">
        <v>30156683</v>
      </c>
      <c r="J70" s="2">
        <f t="shared" si="3"/>
        <v>26563251</v>
      </c>
      <c r="K70" s="2">
        <v>47130950</v>
      </c>
      <c r="L70" s="3">
        <f>2099901094/47130950</f>
        <v>44.554609953756504</v>
      </c>
      <c r="M70" s="3">
        <f t="shared" si="2"/>
        <v>35.472581944058057</v>
      </c>
    </row>
    <row r="71" spans="1:13" x14ac:dyDescent="0.25">
      <c r="A71" t="s">
        <v>71</v>
      </c>
      <c r="B71" s="6" t="s">
        <v>254</v>
      </c>
      <c r="C71">
        <v>1980</v>
      </c>
      <c r="D71" t="s">
        <v>300</v>
      </c>
      <c r="E71" s="2">
        <v>168673828</v>
      </c>
      <c r="F71" s="2">
        <v>148840192</v>
      </c>
      <c r="G71" s="2">
        <v>118027548</v>
      </c>
      <c r="H71" s="3">
        <f>6180256459/148840192</f>
        <v>41.522765967676257</v>
      </c>
      <c r="I71" s="2">
        <v>32295146</v>
      </c>
      <c r="J71" s="2">
        <f t="shared" si="3"/>
        <v>31376726</v>
      </c>
      <c r="K71" s="2">
        <v>54355676</v>
      </c>
      <c r="L71" s="3">
        <f>2291031155/54355676</f>
        <v>42.148885334440507</v>
      </c>
      <c r="M71" s="3">
        <f t="shared" si="2"/>
        <v>36.519487961961246</v>
      </c>
    </row>
    <row r="72" spans="1:13" x14ac:dyDescent="0.25">
      <c r="A72" t="s">
        <v>72</v>
      </c>
      <c r="B72" s="6" t="s">
        <v>255</v>
      </c>
      <c r="C72">
        <v>1981</v>
      </c>
      <c r="D72" t="s">
        <v>300</v>
      </c>
      <c r="E72" s="2">
        <v>99323398</v>
      </c>
      <c r="F72" s="2">
        <v>61097023</v>
      </c>
      <c r="G72" s="2">
        <v>45064769</v>
      </c>
      <c r="H72" s="3">
        <f>2112807866/61097023</f>
        <v>34.581191721894534</v>
      </c>
      <c r="I72" s="2">
        <v>7901582</v>
      </c>
      <c r="J72" s="2">
        <f t="shared" si="3"/>
        <v>15269850</v>
      </c>
      <c r="K72" s="2">
        <v>21893337</v>
      </c>
      <c r="L72" s="3">
        <f>738404767/21893337</f>
        <v>33.72737408646293</v>
      </c>
      <c r="M72" s="3">
        <f t="shared" si="2"/>
        <v>35.833721390975136</v>
      </c>
    </row>
    <row r="73" spans="1:13" x14ac:dyDescent="0.25">
      <c r="A73" t="s">
        <v>73</v>
      </c>
      <c r="B73" s="6" t="s">
        <v>256</v>
      </c>
      <c r="C73">
        <v>1982</v>
      </c>
      <c r="D73" t="s">
        <v>300</v>
      </c>
      <c r="E73" s="2">
        <v>132129950</v>
      </c>
      <c r="F73" s="2">
        <v>123807767</v>
      </c>
      <c r="G73" s="2">
        <v>95840021</v>
      </c>
      <c r="H73" s="3">
        <f>5221910000/123807767</f>
        <v>42.177563868024535</v>
      </c>
      <c r="I73" s="2">
        <v>18745789</v>
      </c>
      <c r="J73" s="2">
        <f t="shared" si="3"/>
        <v>25505702</v>
      </c>
      <c r="K73" s="2">
        <v>51588530</v>
      </c>
      <c r="L73" s="3">
        <f>2198082738/51588530</f>
        <v>42.607973865508477</v>
      </c>
      <c r="M73" s="3">
        <f t="shared" si="2"/>
        <v>41.668250102596552</v>
      </c>
    </row>
    <row r="74" spans="1:13" x14ac:dyDescent="0.25">
      <c r="A74" t="s">
        <v>74</v>
      </c>
      <c r="B74" s="6" t="s">
        <v>257</v>
      </c>
      <c r="C74">
        <v>1982</v>
      </c>
      <c r="D74" t="s">
        <v>300</v>
      </c>
      <c r="E74" s="2">
        <v>145469826</v>
      </c>
      <c r="F74" s="2">
        <v>136167911</v>
      </c>
      <c r="G74" s="2">
        <v>105991174</v>
      </c>
      <c r="H74" s="3">
        <f>5761424363/136167911</f>
        <v>42.311175376700902</v>
      </c>
      <c r="I74" s="2">
        <v>22761039</v>
      </c>
      <c r="J74" s="2">
        <f t="shared" si="3"/>
        <v>27377580</v>
      </c>
      <c r="K74" s="2">
        <v>55852555</v>
      </c>
      <c r="L74" s="3">
        <f>2390937680/55852555</f>
        <v>42.808026955973638</v>
      </c>
      <c r="M74" s="3">
        <f t="shared" si="2"/>
        <v>41.017413419818119</v>
      </c>
    </row>
    <row r="75" spans="1:13" x14ac:dyDescent="0.25">
      <c r="A75" t="s">
        <v>75</v>
      </c>
      <c r="B75" s="6" t="s">
        <v>258</v>
      </c>
      <c r="C75">
        <v>1985</v>
      </c>
      <c r="D75" t="s">
        <v>300</v>
      </c>
      <c r="E75" s="2">
        <v>141704155</v>
      </c>
      <c r="F75" s="2">
        <v>134583053</v>
      </c>
      <c r="G75" s="2">
        <v>104489670</v>
      </c>
      <c r="H75" s="3">
        <f>5915108795/134583053</f>
        <v>43.951364329653003</v>
      </c>
      <c r="I75" s="2">
        <v>26831565</v>
      </c>
      <c r="J75" s="2">
        <f t="shared" si="3"/>
        <v>26089859</v>
      </c>
      <c r="K75" s="2">
        <v>51568246</v>
      </c>
      <c r="L75" s="3">
        <f>2294070473/51568246</f>
        <v>44.486106294947476</v>
      </c>
      <c r="M75" s="3">
        <f t="shared" si="2"/>
        <v>38.317042785468686</v>
      </c>
    </row>
    <row r="76" spans="1:13" x14ac:dyDescent="0.25">
      <c r="A76" t="s">
        <v>76</v>
      </c>
      <c r="B76" s="6" t="s">
        <v>259</v>
      </c>
      <c r="C76">
        <v>1985</v>
      </c>
      <c r="D76" t="s">
        <v>300</v>
      </c>
      <c r="E76" s="2">
        <v>82713680</v>
      </c>
      <c r="F76" s="2">
        <v>76974647</v>
      </c>
      <c r="G76" s="2">
        <v>60286962</v>
      </c>
      <c r="H76" s="3">
        <f>3186172428/76974647</f>
        <v>41.392491582325803</v>
      </c>
      <c r="I76" s="2">
        <v>9504868</v>
      </c>
      <c r="J76" s="2">
        <f t="shared" si="3"/>
        <v>17329470</v>
      </c>
      <c r="K76" s="2">
        <v>33452624</v>
      </c>
      <c r="L76" s="3">
        <f>1392988545/33452624</f>
        <v>41.640636172516693</v>
      </c>
      <c r="M76" s="3">
        <f t="shared" si="2"/>
        <v>43.459275623569923</v>
      </c>
    </row>
    <row r="77" spans="1:13" x14ac:dyDescent="0.25">
      <c r="A77" t="s">
        <v>77</v>
      </c>
      <c r="B77" s="6" t="s">
        <v>260</v>
      </c>
      <c r="C77">
        <v>1986</v>
      </c>
      <c r="D77" t="s">
        <v>300</v>
      </c>
      <c r="E77" s="2">
        <v>90720478</v>
      </c>
      <c r="F77" s="2">
        <v>85369608</v>
      </c>
      <c r="G77" s="2">
        <v>66077923</v>
      </c>
      <c r="H77" s="3">
        <f>3665605012/85369608</f>
        <v>42.93805603511732</v>
      </c>
      <c r="I77" s="2">
        <v>11142631</v>
      </c>
      <c r="J77" s="2">
        <f t="shared" si="3"/>
        <v>19040047</v>
      </c>
      <c r="K77" s="2">
        <v>35895245</v>
      </c>
      <c r="L77" s="3">
        <f>1552371449/35895245</f>
        <v>43.247272695868212</v>
      </c>
      <c r="M77" s="3">
        <f t="shared" si="2"/>
        <v>42.046866374272213</v>
      </c>
    </row>
    <row r="78" spans="1:13" x14ac:dyDescent="0.25">
      <c r="A78" t="s">
        <v>78</v>
      </c>
      <c r="B78" s="6" t="s">
        <v>261</v>
      </c>
      <c r="C78">
        <v>1989</v>
      </c>
      <c r="D78" t="s">
        <v>300</v>
      </c>
      <c r="E78" s="2">
        <v>88734114</v>
      </c>
      <c r="F78" s="2">
        <v>84966004</v>
      </c>
      <c r="G78" s="2">
        <v>64892006</v>
      </c>
      <c r="H78" s="3">
        <f>3805998885/84966004</f>
        <v>44.794373111862484</v>
      </c>
      <c r="I78" s="2">
        <v>11342083</v>
      </c>
      <c r="J78" s="2">
        <f t="shared" si="3"/>
        <v>17515138</v>
      </c>
      <c r="K78" s="2">
        <v>36034785</v>
      </c>
      <c r="L78" s="3">
        <f>1624169923/36034785</f>
        <v>45.072280103794157</v>
      </c>
      <c r="M78" s="3">
        <f t="shared" si="2"/>
        <v>42.410827040895086</v>
      </c>
    </row>
    <row r="79" spans="1:13" x14ac:dyDescent="0.25">
      <c r="A79" t="s">
        <v>79</v>
      </c>
      <c r="B79" s="6" t="s">
        <v>262</v>
      </c>
      <c r="C79">
        <v>1945</v>
      </c>
      <c r="D79" t="s">
        <v>300</v>
      </c>
      <c r="E79" s="2">
        <v>113113641</v>
      </c>
      <c r="F79" s="2">
        <v>97977879</v>
      </c>
      <c r="G79" s="2">
        <v>78178214</v>
      </c>
      <c r="H79" s="3">
        <f>3733196121/97977879</f>
        <v>38.102438622905893</v>
      </c>
      <c r="I79" s="2">
        <v>17146161</v>
      </c>
      <c r="J79" s="2">
        <f t="shared" si="3"/>
        <v>21822756</v>
      </c>
      <c r="K79" s="2">
        <v>39209297</v>
      </c>
      <c r="L79" s="3">
        <f>1510043029/39209297</f>
        <v>38.512371925464514</v>
      </c>
      <c r="M79" s="3">
        <f t="shared" si="2"/>
        <v>40.018519894679493</v>
      </c>
    </row>
    <row r="80" spans="1:13" x14ac:dyDescent="0.25">
      <c r="A80" t="s">
        <v>80</v>
      </c>
      <c r="B80" s="6" t="s">
        <v>263</v>
      </c>
      <c r="C80">
        <v>1946</v>
      </c>
      <c r="D80" t="s">
        <v>300</v>
      </c>
      <c r="E80" s="2">
        <v>83607797</v>
      </c>
      <c r="F80" s="2">
        <v>65998147</v>
      </c>
      <c r="G80" s="2">
        <v>52535834</v>
      </c>
      <c r="H80" s="3">
        <f>2414650786/65998147</f>
        <v>36.586645167477201</v>
      </c>
      <c r="I80" s="2">
        <v>8903239</v>
      </c>
      <c r="J80" s="2">
        <f t="shared" si="3"/>
        <v>17290501</v>
      </c>
      <c r="K80" s="2">
        <v>26342094</v>
      </c>
      <c r="L80" s="3">
        <f>958933922/26342094</f>
        <v>36.403101515012438</v>
      </c>
      <c r="M80" s="3">
        <f t="shared" si="2"/>
        <v>39.913384234863443</v>
      </c>
    </row>
    <row r="81" spans="1:13" x14ac:dyDescent="0.25">
      <c r="A81" t="s">
        <v>81</v>
      </c>
      <c r="B81" s="6" t="s">
        <v>264</v>
      </c>
      <c r="C81">
        <v>1947</v>
      </c>
      <c r="D81" t="s">
        <v>300</v>
      </c>
      <c r="E81" s="2">
        <v>88336748</v>
      </c>
      <c r="F81" s="2">
        <v>69822635</v>
      </c>
      <c r="G81" s="2">
        <v>55806972</v>
      </c>
      <c r="H81" s="3">
        <f>2614260525/69822635</f>
        <v>37.441447533453875</v>
      </c>
      <c r="I81" s="2">
        <v>10008903</v>
      </c>
      <c r="J81" s="2">
        <f t="shared" si="3"/>
        <v>17450713</v>
      </c>
      <c r="K81" s="2">
        <v>28347356</v>
      </c>
      <c r="L81" s="3">
        <f>1062118620/28347356</f>
        <v>37.467995957012711</v>
      </c>
      <c r="M81" s="3">
        <f t="shared" si="2"/>
        <v>40.599092257116908</v>
      </c>
    </row>
    <row r="82" spans="1:13" x14ac:dyDescent="0.25">
      <c r="A82" t="s">
        <v>82</v>
      </c>
      <c r="B82" s="6" t="s">
        <v>265</v>
      </c>
      <c r="C82">
        <v>1947</v>
      </c>
      <c r="D82" t="s">
        <v>300</v>
      </c>
      <c r="E82" s="2">
        <v>81405992</v>
      </c>
      <c r="F82" s="2">
        <v>62028803</v>
      </c>
      <c r="G82" s="2">
        <v>49799026</v>
      </c>
      <c r="H82" s="3">
        <f>2287505537/62028803</f>
        <v>36.878118331575735</v>
      </c>
      <c r="I82" s="2">
        <v>8791110</v>
      </c>
      <c r="J82" s="2">
        <f t="shared" si="3"/>
        <v>15675641</v>
      </c>
      <c r="K82" s="2">
        <v>25332275</v>
      </c>
      <c r="L82" s="3">
        <f>934214493/25332275</f>
        <v>36.87842852645489</v>
      </c>
      <c r="M82" s="3">
        <f t="shared" si="2"/>
        <v>40.839535465483671</v>
      </c>
    </row>
    <row r="83" spans="1:13" x14ac:dyDescent="0.25">
      <c r="A83" t="s">
        <v>83</v>
      </c>
      <c r="B83" s="6" t="s">
        <v>266</v>
      </c>
      <c r="C83">
        <v>1948</v>
      </c>
      <c r="D83" t="s">
        <v>300</v>
      </c>
      <c r="E83" s="2">
        <v>167865633</v>
      </c>
      <c r="F83" s="2">
        <v>157974711</v>
      </c>
      <c r="G83" s="2">
        <v>123241895</v>
      </c>
      <c r="H83" s="3">
        <f>6805514613/157974711</f>
        <v>43.079772514981848</v>
      </c>
      <c r="I83" s="2">
        <v>30931824</v>
      </c>
      <c r="J83" s="2">
        <f t="shared" si="3"/>
        <v>30952742</v>
      </c>
      <c r="K83" s="2">
        <v>61357329</v>
      </c>
      <c r="L83" s="3">
        <f>2678977823/61357329</f>
        <v>43.661904236411594</v>
      </c>
      <c r="M83" s="3">
        <f t="shared" si="2"/>
        <v>38.839969139111133</v>
      </c>
    </row>
    <row r="84" spans="1:13" x14ac:dyDescent="0.25">
      <c r="A84" t="s">
        <v>84</v>
      </c>
      <c r="B84" s="6" t="s">
        <v>267</v>
      </c>
      <c r="C84">
        <v>1949</v>
      </c>
      <c r="D84" t="s">
        <v>300</v>
      </c>
      <c r="E84" s="2">
        <v>83836986</v>
      </c>
      <c r="F84" s="2">
        <v>77741960</v>
      </c>
      <c r="G84" s="2">
        <v>60776522</v>
      </c>
      <c r="H84" s="3">
        <f>3357433154/77741960</f>
        <v>43.186885872185371</v>
      </c>
      <c r="I84" s="2">
        <v>12846056</v>
      </c>
      <c r="J84" s="2">
        <f t="shared" si="3"/>
        <v>17376509</v>
      </c>
      <c r="K84" s="2">
        <v>30553957</v>
      </c>
      <c r="L84" s="3">
        <f>1322941544/30553957</f>
        <v>43.298533934573513</v>
      </c>
      <c r="M84" s="3">
        <f t="shared" si="2"/>
        <v>39.301758021022366</v>
      </c>
    </row>
    <row r="85" spans="1:13" x14ac:dyDescent="0.25">
      <c r="A85" t="s">
        <v>85</v>
      </c>
      <c r="B85" s="6" t="s">
        <v>268</v>
      </c>
      <c r="C85">
        <v>1949</v>
      </c>
      <c r="D85" t="s">
        <v>300</v>
      </c>
      <c r="E85" s="2">
        <v>57690881</v>
      </c>
      <c r="F85" s="2">
        <v>47603015</v>
      </c>
      <c r="G85" s="2">
        <v>37562342</v>
      </c>
      <c r="H85" s="3">
        <f>1786467446/47603015</f>
        <v>37.528451632737969</v>
      </c>
      <c r="I85" s="2">
        <v>5498117</v>
      </c>
      <c r="J85" s="2">
        <f t="shared" si="3"/>
        <v>12156488</v>
      </c>
      <c r="K85" s="2">
        <v>19907737</v>
      </c>
      <c r="L85" s="3">
        <f>742362360/19907737</f>
        <v>37.290143023287882</v>
      </c>
      <c r="M85" s="3">
        <f t="shared" si="2"/>
        <v>41.820327977124975</v>
      </c>
    </row>
    <row r="86" spans="1:13" x14ac:dyDescent="0.25">
      <c r="A86" t="s">
        <v>86</v>
      </c>
      <c r="B86" s="6" t="s">
        <v>269</v>
      </c>
      <c r="C86">
        <v>1949</v>
      </c>
      <c r="D86" t="s">
        <v>300</v>
      </c>
      <c r="E86" s="2">
        <v>69411682</v>
      </c>
      <c r="F86" s="2">
        <v>59212825</v>
      </c>
      <c r="G86" s="2">
        <v>45988454</v>
      </c>
      <c r="H86" s="3">
        <f>2206085866/59212825</f>
        <v>37.256892674855493</v>
      </c>
      <c r="I86" s="2">
        <v>6630230</v>
      </c>
      <c r="J86" s="2">
        <f t="shared" si="3"/>
        <v>13974533</v>
      </c>
      <c r="K86" s="2">
        <v>25383691</v>
      </c>
      <c r="L86" s="3">
        <f>941352286/25383691</f>
        <v>37.084925356206078</v>
      </c>
      <c r="M86" s="3">
        <f t="shared" si="2"/>
        <v>42.868569435759909</v>
      </c>
    </row>
    <row r="87" spans="1:13" x14ac:dyDescent="0.25">
      <c r="A87" t="s">
        <v>87</v>
      </c>
      <c r="B87" s="6" t="s">
        <v>270</v>
      </c>
      <c r="C87">
        <v>1952</v>
      </c>
      <c r="D87" t="s">
        <v>300</v>
      </c>
      <c r="E87" s="2">
        <v>123698759</v>
      </c>
      <c r="F87" s="2">
        <v>105733872</v>
      </c>
      <c r="G87" s="2">
        <v>84749067</v>
      </c>
      <c r="H87" s="3">
        <f>4064372357/105733872</f>
        <v>38.439643608246939</v>
      </c>
      <c r="I87" s="2">
        <v>18863913</v>
      </c>
      <c r="J87" s="2">
        <f t="shared" si="3"/>
        <v>24908618</v>
      </c>
      <c r="K87" s="2">
        <v>40976536</v>
      </c>
      <c r="L87" s="3">
        <f>1583830666/40976536</f>
        <v>38.652136578846005</v>
      </c>
      <c r="M87" s="3">
        <f t="shared" si="2"/>
        <v>38.754407859006619</v>
      </c>
    </row>
    <row r="88" spans="1:13" x14ac:dyDescent="0.25">
      <c r="A88" t="s">
        <v>88</v>
      </c>
      <c r="B88" s="6" t="s">
        <v>271</v>
      </c>
      <c r="C88">
        <v>1955</v>
      </c>
      <c r="D88" t="s">
        <v>300</v>
      </c>
      <c r="E88" s="2">
        <v>101732266</v>
      </c>
      <c r="F88" s="2">
        <v>94863769</v>
      </c>
      <c r="G88" s="2">
        <v>73307401</v>
      </c>
      <c r="H88" s="3">
        <f>3931691818/94863769</f>
        <v>41.445663180428767</v>
      </c>
      <c r="I88" s="2">
        <v>17201608</v>
      </c>
      <c r="J88" s="2">
        <f t="shared" si="3"/>
        <v>19073660</v>
      </c>
      <c r="K88" s="2">
        <v>37032133</v>
      </c>
      <c r="L88" s="3">
        <f>1544338617/37032133</f>
        <v>41.702664467099424</v>
      </c>
      <c r="M88" s="3">
        <f t="shared" si="2"/>
        <v>39.037172347643072</v>
      </c>
    </row>
    <row r="89" spans="1:13" x14ac:dyDescent="0.25">
      <c r="A89" t="s">
        <v>89</v>
      </c>
      <c r="B89" s="6" t="s">
        <v>272</v>
      </c>
      <c r="C89">
        <v>1947</v>
      </c>
      <c r="D89" t="s">
        <v>300</v>
      </c>
      <c r="E89" s="2">
        <v>145313332</v>
      </c>
      <c r="F89" s="2">
        <v>130922079</v>
      </c>
      <c r="G89" s="2">
        <v>103355228</v>
      </c>
      <c r="H89" s="3">
        <f>5066244609/130922079</f>
        <v>38.696640381031528</v>
      </c>
      <c r="I89" s="2">
        <v>25225566</v>
      </c>
      <c r="J89" s="2">
        <f t="shared" si="3"/>
        <v>29925449</v>
      </c>
      <c r="K89" s="2">
        <v>48204213</v>
      </c>
      <c r="L89" s="3">
        <f>1887350771/48204213</f>
        <v>39.15323274751939</v>
      </c>
      <c r="M89" s="3">
        <f t="shared" si="2"/>
        <v>36.81900972562466</v>
      </c>
    </row>
    <row r="90" spans="1:13" x14ac:dyDescent="0.25">
      <c r="A90" t="s">
        <v>90</v>
      </c>
      <c r="B90" s="6" t="s">
        <v>273</v>
      </c>
      <c r="C90">
        <v>1947</v>
      </c>
      <c r="D90" t="s">
        <v>300</v>
      </c>
      <c r="E90" s="2">
        <v>92010792</v>
      </c>
      <c r="F90" s="2">
        <v>69581817</v>
      </c>
      <c r="G90" s="2">
        <v>56238600</v>
      </c>
      <c r="H90" s="3">
        <f>2540119313/69581817</f>
        <v>36.505504203777832</v>
      </c>
      <c r="I90" s="2">
        <v>11431251</v>
      </c>
      <c r="J90" s="2">
        <f t="shared" si="3"/>
        <v>17964548</v>
      </c>
      <c r="K90" s="2">
        <v>26842801</v>
      </c>
      <c r="L90" s="3">
        <f>981024067/26842801</f>
        <v>36.547008153135735</v>
      </c>
      <c r="M90" s="3">
        <f t="shared" si="2"/>
        <v>38.577321141240098</v>
      </c>
    </row>
    <row r="91" spans="1:13" x14ac:dyDescent="0.25">
      <c r="A91" t="s">
        <v>91</v>
      </c>
      <c r="B91" s="6" t="s">
        <v>274</v>
      </c>
      <c r="C91">
        <v>1947</v>
      </c>
      <c r="D91" t="s">
        <v>300</v>
      </c>
      <c r="E91" s="2">
        <v>66900943</v>
      </c>
      <c r="F91" s="2">
        <v>56797586</v>
      </c>
      <c r="G91" s="2">
        <v>45772109</v>
      </c>
      <c r="H91" s="3">
        <f>2260735541/56797586</f>
        <v>39.80337370324154</v>
      </c>
      <c r="I91" s="2">
        <v>7871342</v>
      </c>
      <c r="J91" s="2">
        <f t="shared" si="3"/>
        <v>14711912</v>
      </c>
      <c r="K91" s="2">
        <v>23188855</v>
      </c>
      <c r="L91" s="3">
        <f>926308984/23188855</f>
        <v>39.946301100248377</v>
      </c>
      <c r="M91" s="3">
        <f t="shared" si="2"/>
        <v>40.82718409898618</v>
      </c>
    </row>
    <row r="92" spans="1:13" x14ac:dyDescent="0.25">
      <c r="A92" t="s">
        <v>92</v>
      </c>
      <c r="B92" s="6" t="s">
        <v>275</v>
      </c>
      <c r="C92">
        <v>1947</v>
      </c>
      <c r="D92" t="s">
        <v>300</v>
      </c>
      <c r="E92" s="2">
        <v>93620679</v>
      </c>
      <c r="F92" s="2">
        <v>79278067</v>
      </c>
      <c r="G92" s="2">
        <v>63862500</v>
      </c>
      <c r="H92" s="3">
        <f>3171512222/79278067</f>
        <v>40.004913616271701</v>
      </c>
      <c r="I92" s="2">
        <v>12772324</v>
      </c>
      <c r="J92" s="2">
        <f t="shared" si="3"/>
        <v>19998877</v>
      </c>
      <c r="K92" s="2">
        <v>31091299</v>
      </c>
      <c r="L92" s="3">
        <f>1252462264/31091299</f>
        <v>40.283368797167334</v>
      </c>
      <c r="M92" s="3">
        <f t="shared" si="2"/>
        <v>39.218033658666272</v>
      </c>
    </row>
    <row r="93" spans="1:13" x14ac:dyDescent="0.25">
      <c r="A93" t="s">
        <v>93</v>
      </c>
      <c r="B93" s="6" t="s">
        <v>276</v>
      </c>
      <c r="C93">
        <v>1948</v>
      </c>
      <c r="D93" t="s">
        <v>300</v>
      </c>
      <c r="E93" s="2">
        <v>63428719</v>
      </c>
      <c r="F93" s="2">
        <v>60064217</v>
      </c>
      <c r="G93" s="2">
        <v>45918546</v>
      </c>
      <c r="H93" s="3">
        <f>2541639964/60064217</f>
        <v>42.315376624321935</v>
      </c>
      <c r="I93" s="2">
        <v>8007320</v>
      </c>
      <c r="J93" s="2">
        <f t="shared" si="3"/>
        <v>12783719</v>
      </c>
      <c r="K93" s="2">
        <v>25127507</v>
      </c>
      <c r="L93" s="3">
        <f>1067849915/25127507</f>
        <v>42.497248732235953</v>
      </c>
      <c r="M93" s="3">
        <f t="shared" si="2"/>
        <v>41.834403668327184</v>
      </c>
    </row>
    <row r="94" spans="1:13" x14ac:dyDescent="0.25">
      <c r="A94" t="s">
        <v>94</v>
      </c>
      <c r="B94" s="6" t="s">
        <v>277</v>
      </c>
      <c r="C94">
        <v>1948</v>
      </c>
      <c r="D94" t="s">
        <v>300</v>
      </c>
      <c r="E94" s="2">
        <v>102622881</v>
      </c>
      <c r="F94" s="2">
        <v>86032014</v>
      </c>
      <c r="G94" s="2">
        <v>68146473</v>
      </c>
      <c r="H94" s="3">
        <f>3442132356/86032014</f>
        <v>40.009900918976513</v>
      </c>
      <c r="I94" s="2">
        <v>14440090</v>
      </c>
      <c r="J94" s="2">
        <f t="shared" si="3"/>
        <v>19298864</v>
      </c>
      <c r="K94" s="2">
        <v>34407519</v>
      </c>
      <c r="L94" s="3">
        <f>1388573426/34407519</f>
        <v>40.356685583752785</v>
      </c>
      <c r="M94" s="3">
        <f t="shared" si="2"/>
        <v>39.993855078180545</v>
      </c>
    </row>
    <row r="95" spans="1:13" x14ac:dyDescent="0.25">
      <c r="A95" t="s">
        <v>95</v>
      </c>
      <c r="B95" s="6" t="s">
        <v>278</v>
      </c>
      <c r="C95">
        <v>1954</v>
      </c>
      <c r="D95" t="s">
        <v>300</v>
      </c>
      <c r="E95" s="2">
        <v>65924207</v>
      </c>
      <c r="F95" s="2">
        <v>58910345</v>
      </c>
      <c r="G95" s="2">
        <v>46238726</v>
      </c>
      <c r="H95" s="3">
        <f>2291132628/58910345</f>
        <v>38.891855547612224</v>
      </c>
      <c r="I95" s="2">
        <v>8169519</v>
      </c>
      <c r="J95" s="2">
        <f t="shared" si="3"/>
        <v>14018892</v>
      </c>
      <c r="K95" s="2">
        <v>24050315</v>
      </c>
      <c r="L95" s="3">
        <f>936443534/24050315</f>
        <v>38.936851097376483</v>
      </c>
      <c r="M95" s="3">
        <f t="shared" si="2"/>
        <v>40.825282893861853</v>
      </c>
    </row>
    <row r="96" spans="1:13" x14ac:dyDescent="0.25">
      <c r="A96" t="s">
        <v>96</v>
      </c>
      <c r="B96" s="6" t="s">
        <v>279</v>
      </c>
      <c r="C96">
        <v>1946</v>
      </c>
      <c r="D96" t="s">
        <v>300</v>
      </c>
      <c r="E96" s="2">
        <v>48343984</v>
      </c>
      <c r="F96" s="2">
        <v>40615708</v>
      </c>
      <c r="G96" s="2">
        <v>32100705</v>
      </c>
      <c r="H96" s="3">
        <f>1618229947/40615708</f>
        <v>39.842465555444704</v>
      </c>
      <c r="I96" s="2">
        <v>4129627</v>
      </c>
      <c r="J96" s="2">
        <f t="shared" si="3"/>
        <v>10156673</v>
      </c>
      <c r="K96" s="2">
        <v>17814405</v>
      </c>
      <c r="L96" s="3">
        <f>710392983/17814405</f>
        <v>39.877446538349162</v>
      </c>
      <c r="M96" s="3">
        <f t="shared" si="2"/>
        <v>43.860875206213315</v>
      </c>
    </row>
    <row r="97" spans="1:13" x14ac:dyDescent="0.25">
      <c r="A97" t="s">
        <v>97</v>
      </c>
      <c r="B97" s="6" t="s">
        <v>280</v>
      </c>
      <c r="C97">
        <v>1950</v>
      </c>
      <c r="D97" t="s">
        <v>300</v>
      </c>
      <c r="E97" s="2">
        <v>88281357</v>
      </c>
      <c r="F97" s="2">
        <v>75292200</v>
      </c>
      <c r="G97" s="2">
        <v>59465023</v>
      </c>
      <c r="H97" s="3">
        <f>3008232938/75292200</f>
        <v>39.954111289084395</v>
      </c>
      <c r="I97" s="2">
        <v>10580756</v>
      </c>
      <c r="J97" s="2">
        <f t="shared" si="3"/>
        <v>17166790</v>
      </c>
      <c r="K97" s="2">
        <v>31717477</v>
      </c>
      <c r="L97" s="3">
        <f>1275655153/31717477</f>
        <v>40.219313566460535</v>
      </c>
      <c r="M97" s="3">
        <f t="shared" si="2"/>
        <v>42.125847033291627</v>
      </c>
    </row>
    <row r="98" spans="1:13" x14ac:dyDescent="0.25">
      <c r="A98" t="s">
        <v>98</v>
      </c>
      <c r="B98" s="6" t="s">
        <v>281</v>
      </c>
      <c r="C98">
        <v>1913</v>
      </c>
      <c r="D98" t="s">
        <v>300</v>
      </c>
      <c r="E98" s="2">
        <v>157172876</v>
      </c>
      <c r="F98" s="2">
        <v>125557270</v>
      </c>
      <c r="G98" s="2">
        <v>99939021</v>
      </c>
      <c r="H98" s="3">
        <f>4665895383/125557270</f>
        <v>37.161491190434454</v>
      </c>
      <c r="I98" s="2">
        <v>26381113</v>
      </c>
      <c r="J98" s="2">
        <f t="shared" si="3"/>
        <v>28238593</v>
      </c>
      <c r="K98" s="2">
        <v>45319315</v>
      </c>
      <c r="L98" s="3">
        <f>1703733004/45319315</f>
        <v>37.593970782656356</v>
      </c>
      <c r="M98" s="3">
        <f t="shared" si="2"/>
        <v>36.094536779909284</v>
      </c>
    </row>
    <row r="99" spans="1:13" x14ac:dyDescent="0.25">
      <c r="A99" t="s">
        <v>99</v>
      </c>
      <c r="B99" s="6" t="s">
        <v>282</v>
      </c>
      <c r="C99">
        <v>1915</v>
      </c>
      <c r="D99" t="s">
        <v>300</v>
      </c>
      <c r="E99" s="2">
        <v>80921842</v>
      </c>
      <c r="F99" s="2">
        <v>65886216</v>
      </c>
      <c r="G99" s="2">
        <v>52543007</v>
      </c>
      <c r="H99" s="3">
        <f>2491661937/65886216</f>
        <v>37.817651221615158</v>
      </c>
      <c r="I99" s="2">
        <v>8984826</v>
      </c>
      <c r="J99" s="2">
        <f t="shared" si="3"/>
        <v>16075006</v>
      </c>
      <c r="K99" s="2">
        <v>27483175</v>
      </c>
      <c r="L99" s="3">
        <f>1042583096/27483175</f>
        <v>37.935322101613075</v>
      </c>
      <c r="M99" s="3">
        <f t="shared" si="2"/>
        <v>41.713087605456053</v>
      </c>
    </row>
    <row r="100" spans="1:13" x14ac:dyDescent="0.25">
      <c r="A100" t="s">
        <v>100</v>
      </c>
      <c r="B100" s="6" t="s">
        <v>199</v>
      </c>
      <c r="C100">
        <v>1915</v>
      </c>
      <c r="D100" t="s">
        <v>300</v>
      </c>
      <c r="E100" s="2">
        <v>104841325</v>
      </c>
      <c r="F100" s="2">
        <v>79991813</v>
      </c>
      <c r="G100" s="2">
        <v>64105732</v>
      </c>
      <c r="H100" s="3">
        <f>2996805477/79991813</f>
        <v>37.463902424614382</v>
      </c>
      <c r="I100" s="2">
        <v>12424149</v>
      </c>
      <c r="J100" s="2">
        <f t="shared" si="3"/>
        <v>20110555</v>
      </c>
      <c r="K100" s="2">
        <v>31571028</v>
      </c>
      <c r="L100" s="3">
        <f>1189309620/31571028</f>
        <v>37.67091841291959</v>
      </c>
      <c r="M100" s="3">
        <f t="shared" si="2"/>
        <v>39.467824038442537</v>
      </c>
    </row>
    <row r="101" spans="1:13" x14ac:dyDescent="0.25">
      <c r="A101" t="s">
        <v>101</v>
      </c>
      <c r="B101" s="6" t="s">
        <v>200</v>
      </c>
      <c r="C101">
        <v>1915</v>
      </c>
      <c r="D101" t="s">
        <v>300</v>
      </c>
      <c r="E101" s="2">
        <v>71761867</v>
      </c>
      <c r="F101" s="2">
        <v>56994363</v>
      </c>
      <c r="G101" s="2">
        <v>45989717</v>
      </c>
      <c r="H101" s="3">
        <f>1963577968/56994363</f>
        <v>34.45214341635856</v>
      </c>
      <c r="I101" s="2">
        <v>6965093</v>
      </c>
      <c r="J101" s="2">
        <f t="shared" si="3"/>
        <v>15764857</v>
      </c>
      <c r="K101" s="2">
        <v>23259767</v>
      </c>
      <c r="L101" s="3">
        <f>796003068/23259767</f>
        <v>34.222314780711258</v>
      </c>
      <c r="M101" s="3">
        <f t="shared" si="2"/>
        <v>40.810644729900744</v>
      </c>
    </row>
    <row r="102" spans="1:13" x14ac:dyDescent="0.25">
      <c r="A102" t="s">
        <v>102</v>
      </c>
      <c r="B102" s="6" t="s">
        <v>283</v>
      </c>
      <c r="C102">
        <v>1916</v>
      </c>
      <c r="D102" t="s">
        <v>300</v>
      </c>
      <c r="E102" s="2">
        <v>103409735</v>
      </c>
      <c r="F102" s="2">
        <v>83329133</v>
      </c>
      <c r="G102" s="2">
        <v>66874540</v>
      </c>
      <c r="H102" s="3">
        <f>3054066440/83329133</f>
        <v>36.650644619091381</v>
      </c>
      <c r="I102" s="2">
        <v>13917491</v>
      </c>
      <c r="J102" s="2">
        <f t="shared" si="3"/>
        <v>20234340</v>
      </c>
      <c r="K102" s="2">
        <v>32722709</v>
      </c>
      <c r="L102" s="3">
        <f>1206535083/32722709</f>
        <v>36.871491385386214</v>
      </c>
      <c r="M102" s="3">
        <f t="shared" si="2"/>
        <v>39.269230126275282</v>
      </c>
    </row>
    <row r="103" spans="1:13" x14ac:dyDescent="0.25">
      <c r="A103" t="s">
        <v>103</v>
      </c>
      <c r="B103" s="6" t="s">
        <v>284</v>
      </c>
      <c r="C103">
        <v>1916</v>
      </c>
      <c r="D103" t="s">
        <v>300</v>
      </c>
      <c r="E103" s="2">
        <v>85613178</v>
      </c>
      <c r="F103" s="2">
        <v>66035266</v>
      </c>
      <c r="G103" s="2">
        <v>50857325</v>
      </c>
      <c r="H103" s="3">
        <f>2385287505/66035266</f>
        <v>36.121418894564613</v>
      </c>
      <c r="I103" s="2">
        <v>9242820</v>
      </c>
      <c r="J103" s="2">
        <f t="shared" si="3"/>
        <v>16018312</v>
      </c>
      <c r="K103" s="2">
        <v>25596193</v>
      </c>
      <c r="L103" s="3">
        <f>921371565/25596193</f>
        <v>35.996429820637779</v>
      </c>
      <c r="M103" s="3">
        <f t="shared" si="2"/>
        <v>38.76139909847565</v>
      </c>
    </row>
    <row r="104" spans="1:13" x14ac:dyDescent="0.25">
      <c r="A104" t="s">
        <v>104</v>
      </c>
      <c r="B104" s="6" t="s">
        <v>285</v>
      </c>
      <c r="C104">
        <v>1917</v>
      </c>
      <c r="D104" t="s">
        <v>300</v>
      </c>
      <c r="E104" s="2">
        <v>56602132</v>
      </c>
      <c r="F104" s="2">
        <v>40588588</v>
      </c>
      <c r="G104" s="2">
        <v>31769376</v>
      </c>
      <c r="H104" s="3">
        <f>1458119902/40588588</f>
        <v>35.924381060016181</v>
      </c>
      <c r="I104" s="2">
        <v>4210130</v>
      </c>
      <c r="J104" s="2">
        <f t="shared" si="3"/>
        <v>10830261</v>
      </c>
      <c r="K104" s="2">
        <v>16728985</v>
      </c>
      <c r="L104" s="3">
        <f>594736098/16728985</f>
        <v>35.55123625252817</v>
      </c>
      <c r="M104" s="3">
        <f t="shared" si="2"/>
        <v>41.215981694164874</v>
      </c>
    </row>
    <row r="105" spans="1:13" x14ac:dyDescent="0.25">
      <c r="A105" t="s">
        <v>105</v>
      </c>
      <c r="B105" s="6" t="s">
        <v>286</v>
      </c>
      <c r="C105">
        <v>1917</v>
      </c>
      <c r="D105" t="s">
        <v>300</v>
      </c>
      <c r="E105" s="2">
        <v>99681383</v>
      </c>
      <c r="F105" s="2">
        <v>67942822</v>
      </c>
      <c r="G105" s="2">
        <v>55663692</v>
      </c>
      <c r="H105" s="3">
        <f>2302651010/67942822</f>
        <v>33.891012210237605</v>
      </c>
      <c r="I105" s="2">
        <v>9895255</v>
      </c>
      <c r="J105" s="2">
        <f t="shared" si="3"/>
        <v>18527313</v>
      </c>
      <c r="K105" s="2">
        <v>27241124</v>
      </c>
      <c r="L105" s="3">
        <f>922261809/27241124</f>
        <v>33.855497629246138</v>
      </c>
      <c r="M105" s="3">
        <f t="shared" si="2"/>
        <v>40.09418978799556</v>
      </c>
    </row>
    <row r="106" spans="1:13" x14ac:dyDescent="0.25">
      <c r="A106" t="s">
        <v>106</v>
      </c>
      <c r="B106" s="6" t="s">
        <v>287</v>
      </c>
      <c r="C106">
        <v>1918</v>
      </c>
      <c r="D106" t="s">
        <v>300</v>
      </c>
      <c r="E106" s="2">
        <v>75388320</v>
      </c>
      <c r="F106" s="2">
        <v>56633422</v>
      </c>
      <c r="G106" s="2">
        <v>44683270</v>
      </c>
      <c r="H106" s="3">
        <f>2043350139/56633422</f>
        <v>36.080287343399448</v>
      </c>
      <c r="I106" s="2">
        <v>9725417</v>
      </c>
      <c r="J106" s="2">
        <f t="shared" si="3"/>
        <v>14347816</v>
      </c>
      <c r="K106" s="2">
        <v>20610037</v>
      </c>
      <c r="L106" s="3">
        <f>736931656/20610037</f>
        <v>35.755959875278243</v>
      </c>
      <c r="M106" s="3">
        <f t="shared" si="2"/>
        <v>36.392003647598763</v>
      </c>
    </row>
    <row r="107" spans="1:13" x14ac:dyDescent="0.25">
      <c r="A107" t="s">
        <v>107</v>
      </c>
      <c r="B107" s="6" t="s">
        <v>288</v>
      </c>
      <c r="C107">
        <v>1918</v>
      </c>
      <c r="D107" t="s">
        <v>300</v>
      </c>
      <c r="E107" s="2">
        <v>76302058</v>
      </c>
      <c r="F107" s="2">
        <v>63023753</v>
      </c>
      <c r="G107" s="2">
        <v>49967907</v>
      </c>
      <c r="H107" s="3">
        <f>2310839654/63023753</f>
        <v>36.666170197766547</v>
      </c>
      <c r="I107" s="2">
        <v>8409687</v>
      </c>
      <c r="J107" s="2">
        <f t="shared" si="3"/>
        <v>15522303</v>
      </c>
      <c r="K107" s="2">
        <v>26035917</v>
      </c>
      <c r="L107" s="3">
        <f>953124072/26035917</f>
        <v>36.608046952984218</v>
      </c>
      <c r="M107" s="3">
        <f t="shared" si="2"/>
        <v>41.311276718160535</v>
      </c>
    </row>
    <row r="108" spans="1:13" x14ac:dyDescent="0.25">
      <c r="A108" t="s">
        <v>108</v>
      </c>
      <c r="B108" s="6" t="s">
        <v>289</v>
      </c>
      <c r="C108">
        <v>1914</v>
      </c>
      <c r="D108" t="s">
        <v>300</v>
      </c>
      <c r="E108" s="2">
        <v>90738743</v>
      </c>
      <c r="F108" s="2">
        <v>60996691</v>
      </c>
      <c r="G108" s="2">
        <v>50175009</v>
      </c>
      <c r="H108" s="3">
        <f>2054356176/60996691</f>
        <v>33.679797089320793</v>
      </c>
      <c r="I108" s="2">
        <v>9055135</v>
      </c>
      <c r="J108" s="2">
        <f t="shared" si="3"/>
        <v>17265134</v>
      </c>
      <c r="K108" s="2">
        <v>23854740</v>
      </c>
      <c r="L108" s="3">
        <f>801766588/23854740</f>
        <v>33.610367918493345</v>
      </c>
      <c r="M108" s="3">
        <f t="shared" si="2"/>
        <v>39.108252609965348</v>
      </c>
    </row>
    <row r="109" spans="1:13" x14ac:dyDescent="0.25">
      <c r="A109" t="s">
        <v>109</v>
      </c>
      <c r="B109" s="6" t="s">
        <v>290</v>
      </c>
      <c r="C109">
        <v>1916</v>
      </c>
      <c r="D109" t="s">
        <v>300</v>
      </c>
      <c r="E109" s="2">
        <v>95257439</v>
      </c>
      <c r="F109" s="2">
        <v>61344582</v>
      </c>
      <c r="G109" s="2">
        <v>51133588</v>
      </c>
      <c r="H109" s="3">
        <f>2044120437/61344582</f>
        <v>33.32193928715661</v>
      </c>
      <c r="I109" s="2">
        <v>9965123</v>
      </c>
      <c r="J109" s="2">
        <f t="shared" si="3"/>
        <v>17048170</v>
      </c>
      <c r="K109" s="2">
        <v>24120295</v>
      </c>
      <c r="L109" s="3">
        <f>804761190/24120295</f>
        <v>33.364483726256253</v>
      </c>
      <c r="M109" s="3">
        <f t="shared" si="2"/>
        <v>39.319356679290763</v>
      </c>
    </row>
    <row r="110" spans="1:13" x14ac:dyDescent="0.25">
      <c r="A110" t="s">
        <v>110</v>
      </c>
      <c r="B110" s="6" t="s">
        <v>291</v>
      </c>
      <c r="C110">
        <v>1916</v>
      </c>
      <c r="D110" t="s">
        <v>300</v>
      </c>
      <c r="E110" s="2">
        <v>103192168</v>
      </c>
      <c r="F110" s="2">
        <v>79396198</v>
      </c>
      <c r="G110" s="2">
        <v>64415487</v>
      </c>
      <c r="H110" s="3">
        <f>3077630447/79396198</f>
        <v>38.76294488307866</v>
      </c>
      <c r="I110" s="2">
        <v>15781321</v>
      </c>
      <c r="J110" s="2">
        <f t="shared" si="3"/>
        <v>20225997</v>
      </c>
      <c r="K110" s="2">
        <v>28408169</v>
      </c>
      <c r="L110" s="3">
        <f>1102974210/28408169</f>
        <v>38.82595214073811</v>
      </c>
      <c r="M110" s="3">
        <f t="shared" si="2"/>
        <v>35.780263684666615</v>
      </c>
    </row>
    <row r="111" spans="1:13" x14ac:dyDescent="0.25">
      <c r="A111" t="s">
        <v>111</v>
      </c>
      <c r="B111" s="6" t="s">
        <v>292</v>
      </c>
      <c r="C111">
        <v>1918</v>
      </c>
      <c r="D111" t="s">
        <v>300</v>
      </c>
      <c r="E111" s="2">
        <v>121536089</v>
      </c>
      <c r="F111" s="2">
        <v>85116842</v>
      </c>
      <c r="G111" s="2">
        <v>70529979</v>
      </c>
      <c r="H111" s="3">
        <f>2897458901/85116842</f>
        <v>34.040958674195174</v>
      </c>
      <c r="I111" s="2">
        <v>14282655</v>
      </c>
      <c r="J111" s="2">
        <f t="shared" si="3"/>
        <v>23354349</v>
      </c>
      <c r="K111" s="2">
        <v>32892975</v>
      </c>
      <c r="L111" s="3">
        <f>1125731134/32892975</f>
        <v>34.224059514227584</v>
      </c>
      <c r="M111" s="3">
        <f t="shared" si="2"/>
        <v>38.644496467573362</v>
      </c>
    </row>
    <row r="112" spans="1:13" x14ac:dyDescent="0.25">
      <c r="A112" t="s">
        <v>112</v>
      </c>
      <c r="B112" s="6" t="s">
        <v>293</v>
      </c>
      <c r="C112">
        <v>1919</v>
      </c>
      <c r="D112" t="s">
        <v>300</v>
      </c>
      <c r="E112" s="2">
        <v>46017279</v>
      </c>
      <c r="F112" s="2">
        <v>33042903</v>
      </c>
      <c r="G112" s="2">
        <v>26761558</v>
      </c>
      <c r="H112" s="3">
        <f>1157482233/33042903</f>
        <v>35.029677416660391</v>
      </c>
      <c r="I112" s="2">
        <v>4109421</v>
      </c>
      <c r="J112" s="2">
        <f t="shared" si="3"/>
        <v>9334639</v>
      </c>
      <c r="K112" s="2">
        <v>13317498</v>
      </c>
      <c r="L112" s="3">
        <f>461521298/13317498</f>
        <v>34.655255664389813</v>
      </c>
      <c r="M112" s="3">
        <f t="shared" si="2"/>
        <v>40.303656128518732</v>
      </c>
    </row>
    <row r="113" spans="1:13" x14ac:dyDescent="0.25">
      <c r="A113" t="s">
        <v>113</v>
      </c>
      <c r="B113" s="6" t="s">
        <v>294</v>
      </c>
      <c r="C113">
        <v>1919</v>
      </c>
      <c r="D113" t="s">
        <v>300</v>
      </c>
      <c r="E113" s="2">
        <v>54707115</v>
      </c>
      <c r="F113" s="2">
        <v>44267949</v>
      </c>
      <c r="G113" s="2">
        <v>35479565</v>
      </c>
      <c r="H113" s="3">
        <f>1666271312/44267949</f>
        <v>37.6405808184156</v>
      </c>
      <c r="I113" s="2">
        <v>6408912</v>
      </c>
      <c r="J113" s="2">
        <f t="shared" si="3"/>
        <v>11844131</v>
      </c>
      <c r="K113" s="2">
        <v>17226522</v>
      </c>
      <c r="L113" s="3">
        <f>643444042/17226522</f>
        <v>37.351941500437526</v>
      </c>
      <c r="M113" s="3">
        <f t="shared" si="2"/>
        <v>38.914208562045644</v>
      </c>
    </row>
    <row r="114" spans="1:13" x14ac:dyDescent="0.25">
      <c r="A114" t="s">
        <v>114</v>
      </c>
      <c r="B114" s="6" t="s">
        <v>295</v>
      </c>
      <c r="C114">
        <v>1920</v>
      </c>
      <c r="D114" t="s">
        <v>300</v>
      </c>
      <c r="E114" s="2">
        <v>49755467</v>
      </c>
      <c r="F114" s="2">
        <v>30133135</v>
      </c>
      <c r="G114" s="2">
        <v>24830462</v>
      </c>
      <c r="H114" s="3">
        <f>997093469/30133135</f>
        <v>33.089602824266379</v>
      </c>
      <c r="I114" s="2">
        <v>3212907</v>
      </c>
      <c r="J114" s="2">
        <f t="shared" si="3"/>
        <v>9025362</v>
      </c>
      <c r="K114" s="2">
        <v>12592193</v>
      </c>
      <c r="L114" s="3">
        <f>411079196/12592193</f>
        <v>32.64556030867697</v>
      </c>
      <c r="M114" s="3">
        <f t="shared" si="2"/>
        <v>41.788526152356866</v>
      </c>
    </row>
    <row r="115" spans="1:13" x14ac:dyDescent="0.25">
      <c r="A115" t="s">
        <v>115</v>
      </c>
      <c r="B115" s="6" t="s">
        <v>296</v>
      </c>
      <c r="C115">
        <v>1912</v>
      </c>
      <c r="D115" t="s">
        <v>300</v>
      </c>
      <c r="E115" s="2">
        <v>72807493</v>
      </c>
      <c r="F115" s="2">
        <v>56267659</v>
      </c>
      <c r="G115" s="2">
        <v>45254258</v>
      </c>
      <c r="H115" s="3">
        <f>1948870798/56267659</f>
        <v>34.635718503945576</v>
      </c>
      <c r="I115" s="2">
        <v>8610318</v>
      </c>
      <c r="J115" s="2">
        <f t="shared" si="3"/>
        <v>14509350</v>
      </c>
      <c r="K115" s="2">
        <v>22134590</v>
      </c>
      <c r="L115" s="3">
        <f>764853415/22134590</f>
        <v>34.554668281635216</v>
      </c>
      <c r="M115" s="3">
        <f t="shared" si="2"/>
        <v>39.338032527708322</v>
      </c>
    </row>
    <row r="116" spans="1:13" x14ac:dyDescent="0.25">
      <c r="A116" t="s">
        <v>116</v>
      </c>
      <c r="B116" s="6" t="s">
        <v>297</v>
      </c>
      <c r="C116">
        <v>1916</v>
      </c>
      <c r="D116" t="s">
        <v>300</v>
      </c>
      <c r="E116" s="2">
        <v>47159943</v>
      </c>
      <c r="F116" s="2">
        <v>34382943</v>
      </c>
      <c r="G116" s="2">
        <v>27584130</v>
      </c>
      <c r="H116" s="3">
        <f>1260327293/34382943</f>
        <v>36.655596730041403</v>
      </c>
      <c r="I116" s="2">
        <v>3503056</v>
      </c>
      <c r="J116" s="2">
        <f t="shared" si="3"/>
        <v>9913576</v>
      </c>
      <c r="K116" s="2">
        <v>14167498</v>
      </c>
      <c r="L116" s="3">
        <f>516293911/14167498</f>
        <v>36.442137560209993</v>
      </c>
      <c r="M116" s="3">
        <f t="shared" si="2"/>
        <v>41.205018430214075</v>
      </c>
    </row>
    <row r="117" spans="1:13" x14ac:dyDescent="0.25">
      <c r="A117" t="s">
        <v>117</v>
      </c>
      <c r="B117" s="6" t="s">
        <v>298</v>
      </c>
      <c r="C117">
        <v>1910</v>
      </c>
      <c r="D117" t="s">
        <v>300</v>
      </c>
      <c r="E117" s="2">
        <v>147201150</v>
      </c>
      <c r="F117" s="2">
        <v>130888268</v>
      </c>
      <c r="G117" s="2">
        <v>103912250</v>
      </c>
      <c r="H117" s="3">
        <f>5196239912/130888268</f>
        <v>39.699814134602192</v>
      </c>
      <c r="I117" s="2">
        <v>29129095</v>
      </c>
      <c r="J117" s="2">
        <f t="shared" si="3"/>
        <v>28298081</v>
      </c>
      <c r="K117" s="2">
        <v>46485074</v>
      </c>
      <c r="L117" s="3">
        <f>1871653810/46485074</f>
        <v>40.263543734489915</v>
      </c>
      <c r="M117" s="3">
        <f t="shared" si="2"/>
        <v>35.515080694627265</v>
      </c>
    </row>
    <row r="118" spans="1:13" x14ac:dyDescent="0.25">
      <c r="A118" t="s">
        <v>118</v>
      </c>
      <c r="B118" s="6" t="s">
        <v>302</v>
      </c>
      <c r="C118">
        <v>1905</v>
      </c>
      <c r="D118" t="s">
        <v>301</v>
      </c>
      <c r="E118" s="2">
        <v>84932391</v>
      </c>
      <c r="F118" s="2">
        <v>75898748</v>
      </c>
      <c r="G118" s="2">
        <v>60791094</v>
      </c>
      <c r="H118" s="3">
        <f>3008024827/75898748</f>
        <v>39.632074392057163</v>
      </c>
      <c r="I118" s="2">
        <v>8555130</v>
      </c>
      <c r="J118" s="2">
        <f t="shared" si="3"/>
        <v>20591516</v>
      </c>
      <c r="K118" s="2">
        <v>31644448</v>
      </c>
      <c r="L118" s="3">
        <f>1250693672/31644448</f>
        <v>39.523320868166195</v>
      </c>
      <c r="M118" s="3">
        <f t="shared" si="2"/>
        <v>41.692977596942704</v>
      </c>
    </row>
    <row r="119" spans="1:13" x14ac:dyDescent="0.25">
      <c r="A119" t="s">
        <v>119</v>
      </c>
      <c r="B119" s="6" t="s">
        <v>302</v>
      </c>
      <c r="C119">
        <v>1905</v>
      </c>
      <c r="D119" t="s">
        <v>301</v>
      </c>
      <c r="E119" s="2">
        <v>57982381</v>
      </c>
      <c r="F119" s="2">
        <v>53188056</v>
      </c>
      <c r="G119" s="2">
        <v>42742137</v>
      </c>
      <c r="H119" s="3">
        <f>2127194247/53188056</f>
        <v>39.993833333558946</v>
      </c>
      <c r="I119" s="2">
        <v>4590754</v>
      </c>
      <c r="J119" s="2">
        <f t="shared" si="3"/>
        <v>14126171</v>
      </c>
      <c r="K119" s="2">
        <v>24025212</v>
      </c>
      <c r="L119" s="3">
        <f>963831372/24025212</f>
        <v>40.117497069328671</v>
      </c>
      <c r="M119" s="3">
        <f>(K119/F119)*100</f>
        <v>45.170314177303268</v>
      </c>
    </row>
    <row r="120" spans="1:13" x14ac:dyDescent="0.25">
      <c r="A120" t="s">
        <v>120</v>
      </c>
      <c r="B120" s="6" t="s">
        <v>302</v>
      </c>
      <c r="C120">
        <v>1922</v>
      </c>
      <c r="D120" t="s">
        <v>301</v>
      </c>
      <c r="E120" s="2">
        <v>83524128</v>
      </c>
      <c r="F120" s="2">
        <v>76001662</v>
      </c>
      <c r="G120" s="2">
        <v>58266575</v>
      </c>
      <c r="H120" s="3">
        <f>3140801249/76001662</f>
        <v>41.325428501813555</v>
      </c>
      <c r="I120" s="2">
        <v>8314017</v>
      </c>
      <c r="J120" s="2">
        <f t="shared" si="3"/>
        <v>19039027</v>
      </c>
      <c r="K120" s="2">
        <v>30913531</v>
      </c>
      <c r="L120" s="3">
        <f>1270986741/30913531</f>
        <v>41.114253205174137</v>
      </c>
      <c r="M120" s="3">
        <f t="shared" ref="M120:M177" si="4">(K120/F120)*100</f>
        <v>40.674809190356918</v>
      </c>
    </row>
    <row r="121" spans="1:13" x14ac:dyDescent="0.25">
      <c r="A121" t="s">
        <v>121</v>
      </c>
      <c r="B121" s="6" t="s">
        <v>302</v>
      </c>
      <c r="C121">
        <v>1922</v>
      </c>
      <c r="D121" t="s">
        <v>301</v>
      </c>
      <c r="E121" s="2">
        <v>79788249</v>
      </c>
      <c r="F121" s="2">
        <v>74255087</v>
      </c>
      <c r="G121" s="2">
        <v>57663062</v>
      </c>
      <c r="H121" s="3">
        <f>3034394628/74255087</f>
        <v>40.864468019544574</v>
      </c>
      <c r="I121" s="2">
        <v>6918242</v>
      </c>
      <c r="J121" s="2">
        <f t="shared" si="3"/>
        <v>18117032</v>
      </c>
      <c r="K121" s="2">
        <v>32627788</v>
      </c>
      <c r="L121" s="3">
        <f>1340462926/32627788</f>
        <v>41.083475410591731</v>
      </c>
      <c r="M121" s="3">
        <f t="shared" si="4"/>
        <v>43.940138404255052</v>
      </c>
    </row>
    <row r="122" spans="1:13" x14ac:dyDescent="0.25">
      <c r="A122" t="s">
        <v>122</v>
      </c>
      <c r="B122" s="6" t="s">
        <v>302</v>
      </c>
      <c r="C122">
        <v>1922</v>
      </c>
      <c r="D122" t="s">
        <v>301</v>
      </c>
      <c r="E122" s="2">
        <v>97834712</v>
      </c>
      <c r="F122" s="2">
        <v>92537701</v>
      </c>
      <c r="G122" s="2">
        <v>72487263</v>
      </c>
      <c r="H122" s="3">
        <f>3911334606/92537701</f>
        <v>42.26747113589952</v>
      </c>
      <c r="I122" s="2">
        <v>9366035</v>
      </c>
      <c r="J122" s="2">
        <f t="shared" si="3"/>
        <v>21718804</v>
      </c>
      <c r="K122" s="2">
        <v>41402424</v>
      </c>
      <c r="L122" s="3">
        <f>1755584184/41402424</f>
        <v>42.402932350047912</v>
      </c>
      <c r="M122" s="3">
        <f t="shared" si="4"/>
        <v>44.741141775285733</v>
      </c>
    </row>
    <row r="123" spans="1:13" x14ac:dyDescent="0.25">
      <c r="A123" t="s">
        <v>123</v>
      </c>
      <c r="B123" s="6" t="s">
        <v>302</v>
      </c>
      <c r="C123">
        <v>1922</v>
      </c>
      <c r="D123" t="s">
        <v>301</v>
      </c>
      <c r="E123" s="2">
        <v>60272493</v>
      </c>
      <c r="F123" s="2">
        <v>54318430</v>
      </c>
      <c r="G123" s="2">
        <v>43126982</v>
      </c>
      <c r="H123" s="3">
        <f>2249855842/54318430</f>
        <v>41.419750939045919</v>
      </c>
      <c r="I123" s="2">
        <v>5949486</v>
      </c>
      <c r="J123" s="2">
        <f t="shared" si="3"/>
        <v>14400712</v>
      </c>
      <c r="K123" s="2">
        <v>22776784</v>
      </c>
      <c r="L123" s="3">
        <f>940150555/22776784</f>
        <v>41.276703286996096</v>
      </c>
      <c r="M123" s="3">
        <f t="shared" si="4"/>
        <v>41.93196305563324</v>
      </c>
    </row>
    <row r="124" spans="1:13" x14ac:dyDescent="0.25">
      <c r="A124" t="s">
        <v>124</v>
      </c>
      <c r="B124" s="6" t="s">
        <v>302</v>
      </c>
      <c r="C124">
        <v>1922</v>
      </c>
      <c r="D124" t="s">
        <v>301</v>
      </c>
      <c r="E124" s="2">
        <v>76861026</v>
      </c>
      <c r="F124" s="2">
        <v>65933059</v>
      </c>
      <c r="G124" s="2">
        <v>52772144</v>
      </c>
      <c r="H124" s="3">
        <f>2635840904/65933059</f>
        <v>39.977530907522429</v>
      </c>
      <c r="I124" s="2">
        <v>8062982</v>
      </c>
      <c r="J124" s="2">
        <f t="shared" si="3"/>
        <v>18059981</v>
      </c>
      <c r="K124" s="2">
        <v>26649181</v>
      </c>
      <c r="L124" s="3">
        <f>1066151044/26649181</f>
        <v>40.006897172562262</v>
      </c>
      <c r="M124" s="3">
        <f t="shared" si="4"/>
        <v>40.418541781900338</v>
      </c>
    </row>
    <row r="125" spans="1:13" x14ac:dyDescent="0.25">
      <c r="A125" t="s">
        <v>125</v>
      </c>
      <c r="B125" s="6" t="s">
        <v>302</v>
      </c>
      <c r="C125">
        <v>1922</v>
      </c>
      <c r="D125" t="s">
        <v>301</v>
      </c>
      <c r="E125" s="2">
        <v>86466115</v>
      </c>
      <c r="F125" s="2">
        <v>79819900</v>
      </c>
      <c r="G125" s="2">
        <v>53626078</v>
      </c>
      <c r="H125" s="3">
        <f>3372697780/79819900</f>
        <v>42.253846221305714</v>
      </c>
      <c r="I125" s="2">
        <v>5507598</v>
      </c>
      <c r="J125" s="2">
        <f t="shared" si="3"/>
        <v>17029885</v>
      </c>
      <c r="K125" s="2">
        <v>31088595</v>
      </c>
      <c r="L125" s="3">
        <f>1319061156/31088595</f>
        <v>42.429101604623817</v>
      </c>
      <c r="M125" s="3">
        <f t="shared" si="4"/>
        <v>38.948426394921562</v>
      </c>
    </row>
    <row r="126" spans="1:13" x14ac:dyDescent="0.25">
      <c r="A126" t="s">
        <v>126</v>
      </c>
      <c r="B126" s="6" t="s">
        <v>302</v>
      </c>
      <c r="C126">
        <v>1922</v>
      </c>
      <c r="D126" t="s">
        <v>301</v>
      </c>
      <c r="E126" s="2">
        <v>121242642</v>
      </c>
      <c r="F126" s="2">
        <v>108053008</v>
      </c>
      <c r="G126" s="2">
        <v>87798203</v>
      </c>
      <c r="H126" s="3">
        <f>4468851706/108053008</f>
        <v>41.357957438815589</v>
      </c>
      <c r="I126" s="2">
        <v>22538132</v>
      </c>
      <c r="J126" s="2">
        <f t="shared" si="3"/>
        <v>26338987</v>
      </c>
      <c r="K126" s="2">
        <v>38921084</v>
      </c>
      <c r="L126" s="3">
        <f>1620804367/38921084</f>
        <v>41.643351120436421</v>
      </c>
      <c r="M126" s="3">
        <f t="shared" si="4"/>
        <v>36.020361413723897</v>
      </c>
    </row>
    <row r="127" spans="1:13" x14ac:dyDescent="0.25">
      <c r="A127" t="s">
        <v>127</v>
      </c>
      <c r="B127" s="6" t="s">
        <v>302</v>
      </c>
      <c r="C127">
        <v>1922</v>
      </c>
      <c r="D127" t="s">
        <v>301</v>
      </c>
      <c r="E127" s="2">
        <v>79369545</v>
      </c>
      <c r="F127" s="2">
        <v>73708490</v>
      </c>
      <c r="G127" s="2">
        <v>57859728</v>
      </c>
      <c r="H127" s="3">
        <f>3005207960/73708490</f>
        <v>40.771530660850601</v>
      </c>
      <c r="I127" s="2">
        <v>6868299</v>
      </c>
      <c r="J127" s="2">
        <f t="shared" si="3"/>
        <v>17797620</v>
      </c>
      <c r="K127" s="2">
        <v>33193809</v>
      </c>
      <c r="L127" s="3">
        <f>1354932922/33193809</f>
        <v>40.818844321240746</v>
      </c>
      <c r="M127" s="3">
        <f t="shared" si="4"/>
        <v>45.033901793402634</v>
      </c>
    </row>
    <row r="128" spans="1:13" x14ac:dyDescent="0.25">
      <c r="A128" t="s">
        <v>128</v>
      </c>
      <c r="B128" s="6" t="s">
        <v>302</v>
      </c>
      <c r="C128">
        <v>1950</v>
      </c>
      <c r="D128" t="s">
        <v>301</v>
      </c>
      <c r="E128" s="2">
        <v>108762035</v>
      </c>
      <c r="F128" s="2">
        <v>103930559</v>
      </c>
      <c r="G128" s="2">
        <v>82325524</v>
      </c>
      <c r="H128" s="3">
        <f>4608404584/103930559</f>
        <v>44.341189235785791</v>
      </c>
      <c r="I128" s="2">
        <v>13827802</v>
      </c>
      <c r="J128" s="2">
        <f t="shared" ref="J128:J177" si="5">G128-I128-K128</f>
        <v>24786225</v>
      </c>
      <c r="K128" s="2">
        <v>43711497</v>
      </c>
      <c r="L128" s="3">
        <f>1945624497/43711497</f>
        <v>44.510589445152156</v>
      </c>
      <c r="M128" s="3">
        <f t="shared" si="4"/>
        <v>42.058368030138276</v>
      </c>
    </row>
    <row r="129" spans="1:13" x14ac:dyDescent="0.25">
      <c r="A129" t="s">
        <v>129</v>
      </c>
      <c r="B129" s="6" t="s">
        <v>302</v>
      </c>
      <c r="C129">
        <v>1950</v>
      </c>
      <c r="D129" t="s">
        <v>301</v>
      </c>
      <c r="E129" s="2">
        <v>88810880</v>
      </c>
      <c r="F129" s="2">
        <v>85545253</v>
      </c>
      <c r="G129" s="2">
        <v>67579286</v>
      </c>
      <c r="H129" s="3">
        <f>3810264200/85545253</f>
        <v>44.540919178764952</v>
      </c>
      <c r="I129" s="2">
        <v>11215189</v>
      </c>
      <c r="J129" s="2">
        <f t="shared" si="5"/>
        <v>19244310</v>
      </c>
      <c r="K129" s="2">
        <v>37119787</v>
      </c>
      <c r="L129" s="3">
        <f>1662483578/37119787</f>
        <v>44.786991315440467</v>
      </c>
      <c r="M129" s="3">
        <f t="shared" si="4"/>
        <v>43.391989266780243</v>
      </c>
    </row>
    <row r="130" spans="1:13" x14ac:dyDescent="0.25">
      <c r="A130" t="s">
        <v>130</v>
      </c>
      <c r="B130" s="6" t="s">
        <v>302</v>
      </c>
      <c r="C130">
        <v>1950</v>
      </c>
      <c r="D130" t="s">
        <v>301</v>
      </c>
      <c r="E130" s="2">
        <v>122495752</v>
      </c>
      <c r="F130" s="2">
        <v>119623622</v>
      </c>
      <c r="G130" s="2">
        <v>92972790</v>
      </c>
      <c r="H130" s="3">
        <f>5462525541/119623622</f>
        <v>45.66427140117861</v>
      </c>
      <c r="I130" s="2">
        <v>15734172</v>
      </c>
      <c r="J130" s="2">
        <f t="shared" si="5"/>
        <v>25459215</v>
      </c>
      <c r="K130" s="2">
        <v>51779403</v>
      </c>
      <c r="L130" s="3">
        <f>2371301988/51779403</f>
        <v>45.796240408565545</v>
      </c>
      <c r="M130" s="3">
        <f t="shared" si="4"/>
        <v>43.285266015436314</v>
      </c>
    </row>
    <row r="131" spans="1:13" x14ac:dyDescent="0.25">
      <c r="A131" t="s">
        <v>131</v>
      </c>
      <c r="B131" s="6" t="s">
        <v>302</v>
      </c>
      <c r="C131">
        <v>1960</v>
      </c>
      <c r="D131" t="s">
        <v>301</v>
      </c>
      <c r="E131" s="2">
        <v>125364060</v>
      </c>
      <c r="F131" s="2">
        <v>120930595</v>
      </c>
      <c r="G131" s="2">
        <v>94001905</v>
      </c>
      <c r="H131" s="3">
        <f>5355952173/120930595</f>
        <v>44.289471766842794</v>
      </c>
      <c r="I131" s="2">
        <v>14484431</v>
      </c>
      <c r="J131" s="2">
        <f t="shared" si="5"/>
        <v>25695892</v>
      </c>
      <c r="K131" s="2">
        <v>53821582</v>
      </c>
      <c r="L131" s="3">
        <f>2398388501/53821582</f>
        <v>44.561835826379088</v>
      </c>
      <c r="M131" s="3">
        <f t="shared" si="4"/>
        <v>44.506174802166484</v>
      </c>
    </row>
    <row r="132" spans="1:13" x14ac:dyDescent="0.25">
      <c r="A132" t="s">
        <v>132</v>
      </c>
      <c r="B132" s="6" t="s">
        <v>302</v>
      </c>
      <c r="C132">
        <v>1960</v>
      </c>
      <c r="D132" t="s">
        <v>301</v>
      </c>
      <c r="E132" s="2">
        <v>139472803</v>
      </c>
      <c r="F132" s="2">
        <v>134560648</v>
      </c>
      <c r="G132" s="2">
        <v>103644556</v>
      </c>
      <c r="H132" s="3">
        <f>5986203734/134560648</f>
        <v>44.487031111800235</v>
      </c>
      <c r="I132" s="2">
        <v>23351553</v>
      </c>
      <c r="J132" s="2">
        <f t="shared" si="5"/>
        <v>28185426</v>
      </c>
      <c r="K132" s="2">
        <v>52107577</v>
      </c>
      <c r="L132" s="3">
        <f>2323503479/52107577</f>
        <v>44.590510877141725</v>
      </c>
      <c r="M132" s="3">
        <f t="shared" si="4"/>
        <v>38.724231619336436</v>
      </c>
    </row>
    <row r="133" spans="1:13" x14ac:dyDescent="0.25">
      <c r="A133" t="s">
        <v>133</v>
      </c>
      <c r="B133" s="6" t="s">
        <v>302</v>
      </c>
      <c r="C133">
        <v>1960</v>
      </c>
      <c r="D133" t="s">
        <v>301</v>
      </c>
      <c r="E133" s="2">
        <v>116525715</v>
      </c>
      <c r="F133" s="2">
        <v>113866798</v>
      </c>
      <c r="G133" s="2">
        <v>84371147</v>
      </c>
      <c r="H133" s="3">
        <f>5190860343/113866798</f>
        <v>45.587128418241811</v>
      </c>
      <c r="I133" s="2">
        <v>14802990</v>
      </c>
      <c r="J133" s="2">
        <f t="shared" si="5"/>
        <v>24707274</v>
      </c>
      <c r="K133" s="2">
        <v>44860883</v>
      </c>
      <c r="L133" s="3">
        <f>2041351407/44860883</f>
        <v>45.504039833544965</v>
      </c>
      <c r="M133" s="3">
        <f t="shared" si="4"/>
        <v>39.397685530772542</v>
      </c>
    </row>
    <row r="134" spans="1:13" x14ac:dyDescent="0.25">
      <c r="A134" t="s">
        <v>134</v>
      </c>
      <c r="B134" s="6" t="s">
        <v>302</v>
      </c>
      <c r="C134">
        <v>1960</v>
      </c>
      <c r="D134" t="s">
        <v>301</v>
      </c>
      <c r="E134" s="2">
        <v>107263379</v>
      </c>
      <c r="F134" s="2">
        <v>104144930</v>
      </c>
      <c r="G134" s="2">
        <v>80444542</v>
      </c>
      <c r="H134" s="3">
        <f>4746192191/104144930</f>
        <v>45.572954833230959</v>
      </c>
      <c r="I134" s="2">
        <v>12240340</v>
      </c>
      <c r="J134" s="2">
        <f t="shared" si="5"/>
        <v>23476773</v>
      </c>
      <c r="K134" s="2">
        <v>44727429</v>
      </c>
      <c r="L134" s="3">
        <f>2043754962/44727429</f>
        <v>45.693548851198223</v>
      </c>
      <c r="M134" s="3">
        <f t="shared" si="4"/>
        <v>42.947293737678827</v>
      </c>
    </row>
    <row r="135" spans="1:13" x14ac:dyDescent="0.25">
      <c r="A135" t="s">
        <v>135</v>
      </c>
      <c r="B135" s="6" t="s">
        <v>302</v>
      </c>
      <c r="C135">
        <v>1960</v>
      </c>
      <c r="D135" t="s">
        <v>301</v>
      </c>
      <c r="E135" s="2">
        <v>97682779</v>
      </c>
      <c r="F135" s="2">
        <v>95091154</v>
      </c>
      <c r="G135" s="2">
        <v>73017000</v>
      </c>
      <c r="H135" s="3">
        <f>4352257499/95091154</f>
        <v>45.769320445937588</v>
      </c>
      <c r="I135" s="2">
        <v>13797967</v>
      </c>
      <c r="J135" s="2">
        <f t="shared" si="5"/>
        <v>21860465</v>
      </c>
      <c r="K135" s="2">
        <v>37358568</v>
      </c>
      <c r="L135" s="3">
        <f>1715606139/37358568</f>
        <v>45.922695404170739</v>
      </c>
      <c r="M135" s="3">
        <f t="shared" si="4"/>
        <v>39.287111816941454</v>
      </c>
    </row>
    <row r="136" spans="1:13" x14ac:dyDescent="0.25">
      <c r="A136" t="s">
        <v>136</v>
      </c>
      <c r="B136" s="6" t="s">
        <v>302</v>
      </c>
      <c r="C136">
        <v>1960</v>
      </c>
      <c r="D136" t="s">
        <v>301</v>
      </c>
      <c r="E136" s="2">
        <v>118649164</v>
      </c>
      <c r="F136" s="2">
        <v>115812894</v>
      </c>
      <c r="G136" s="2">
        <v>90510097</v>
      </c>
      <c r="H136" s="3">
        <f>5264847760/115812894</f>
        <v>45.459944727743355</v>
      </c>
      <c r="I136" s="2">
        <v>14596823</v>
      </c>
      <c r="J136" s="2">
        <f t="shared" si="5"/>
        <v>25869006</v>
      </c>
      <c r="K136" s="2">
        <v>50044268</v>
      </c>
      <c r="L136" s="3">
        <f>2284259846/50044268</f>
        <v>45.644784853282296</v>
      </c>
      <c r="M136" s="3">
        <f t="shared" si="4"/>
        <v>43.211309441934851</v>
      </c>
    </row>
    <row r="137" spans="1:13" x14ac:dyDescent="0.25">
      <c r="A137" t="s">
        <v>137</v>
      </c>
      <c r="B137" s="6" t="s">
        <v>302</v>
      </c>
      <c r="C137">
        <v>1960</v>
      </c>
      <c r="D137" t="s">
        <v>301</v>
      </c>
      <c r="E137" s="2">
        <v>110768471</v>
      </c>
      <c r="F137" s="2">
        <v>107621747</v>
      </c>
      <c r="G137" s="2">
        <v>82908954</v>
      </c>
      <c r="H137" s="3">
        <f>4940102637/107621747</f>
        <v>45.902457214339776</v>
      </c>
      <c r="I137" s="2">
        <v>14022012</v>
      </c>
      <c r="J137" s="2">
        <f t="shared" si="5"/>
        <v>23943024</v>
      </c>
      <c r="K137" s="2">
        <v>44943918</v>
      </c>
      <c r="L137" s="3">
        <f>2068356991/44943918</f>
        <v>46.0208429314062</v>
      </c>
      <c r="M137" s="3">
        <f t="shared" si="4"/>
        <v>41.761000218663987</v>
      </c>
    </row>
    <row r="138" spans="1:13" x14ac:dyDescent="0.25">
      <c r="A138" t="s">
        <v>138</v>
      </c>
      <c r="B138" s="6" t="s">
        <v>302</v>
      </c>
      <c r="C138">
        <v>1994</v>
      </c>
      <c r="D138" t="s">
        <v>301</v>
      </c>
      <c r="E138" s="2">
        <v>100713322</v>
      </c>
      <c r="F138" s="2">
        <v>99285373</v>
      </c>
      <c r="G138" s="2">
        <v>78846180</v>
      </c>
      <c r="H138" s="3">
        <f>4678678462/99285373</f>
        <v>47.123542175744255</v>
      </c>
      <c r="I138" s="2">
        <v>11159265</v>
      </c>
      <c r="J138" s="2">
        <f t="shared" si="5"/>
        <v>20512184</v>
      </c>
      <c r="K138" s="2">
        <v>47174731</v>
      </c>
      <c r="L138" s="3">
        <f>2232349172/47174731</f>
        <v>47.32086701246903</v>
      </c>
      <c r="M138" s="3">
        <f t="shared" si="4"/>
        <v>47.514280880024494</v>
      </c>
    </row>
    <row r="139" spans="1:13" x14ac:dyDescent="0.25">
      <c r="A139" t="s">
        <v>139</v>
      </c>
      <c r="B139" s="6" t="s">
        <v>302</v>
      </c>
      <c r="C139">
        <v>1990</v>
      </c>
      <c r="D139" t="s">
        <v>301</v>
      </c>
      <c r="E139" s="2">
        <v>134505022</v>
      </c>
      <c r="F139" s="2">
        <v>129407197</v>
      </c>
      <c r="G139" s="2">
        <v>101864203</v>
      </c>
      <c r="H139" s="3">
        <f>5907803108/129407197</f>
        <v>45.652817192230813</v>
      </c>
      <c r="I139" s="2">
        <v>19094634</v>
      </c>
      <c r="J139" s="2">
        <f t="shared" si="5"/>
        <v>26991917</v>
      </c>
      <c r="K139" s="2">
        <v>55777652</v>
      </c>
      <c r="L139" s="3">
        <f>2566301090/55777652</f>
        <v>46.009485842107516</v>
      </c>
      <c r="M139" s="3">
        <f t="shared" si="4"/>
        <v>43.102434248691743</v>
      </c>
    </row>
    <row r="140" spans="1:13" x14ac:dyDescent="0.25">
      <c r="A140" t="s">
        <v>140</v>
      </c>
      <c r="B140" s="6" t="s">
        <v>302</v>
      </c>
      <c r="C140">
        <v>1998</v>
      </c>
      <c r="D140" t="s">
        <v>301</v>
      </c>
      <c r="E140" s="2">
        <v>78055093</v>
      </c>
      <c r="F140" s="2">
        <v>73025424</v>
      </c>
      <c r="G140" s="2">
        <v>54921618</v>
      </c>
      <c r="H140" s="3">
        <f>3262785570/73025424</f>
        <v>44.680131812723197</v>
      </c>
      <c r="I140" s="2">
        <v>9349132</v>
      </c>
      <c r="J140" s="2">
        <f t="shared" si="5"/>
        <v>20381972</v>
      </c>
      <c r="K140" s="2">
        <v>25190514</v>
      </c>
      <c r="L140" s="3">
        <f>1108808086/25190514</f>
        <v>44.016890088070454</v>
      </c>
      <c r="M140" s="3">
        <f t="shared" si="4"/>
        <v>34.495539526069713</v>
      </c>
    </row>
    <row r="141" spans="1:13" x14ac:dyDescent="0.25">
      <c r="A141" t="s">
        <v>141</v>
      </c>
      <c r="B141" s="6" t="s">
        <v>302</v>
      </c>
      <c r="C141">
        <v>1990</v>
      </c>
      <c r="D141" t="s">
        <v>301</v>
      </c>
      <c r="E141" s="2">
        <v>84711242</v>
      </c>
      <c r="F141" s="2">
        <v>82234543</v>
      </c>
      <c r="G141" s="2">
        <v>63045864</v>
      </c>
      <c r="H141" s="3">
        <f>3758816972/82234543</f>
        <v>45.708492257323059</v>
      </c>
      <c r="I141" s="2">
        <v>7894400</v>
      </c>
      <c r="J141" s="2">
        <f t="shared" si="5"/>
        <v>18992631</v>
      </c>
      <c r="K141" s="2">
        <v>36158833</v>
      </c>
      <c r="L141" s="3">
        <f>1651455301/36158833</f>
        <v>45.672251120493847</v>
      </c>
      <c r="M141" s="3">
        <f t="shared" si="4"/>
        <v>43.970370212916485</v>
      </c>
    </row>
    <row r="142" spans="1:13" x14ac:dyDescent="0.25">
      <c r="A142" t="s">
        <v>142</v>
      </c>
      <c r="B142" s="6" t="s">
        <v>302</v>
      </c>
      <c r="C142">
        <v>1989</v>
      </c>
      <c r="D142" t="s">
        <v>301</v>
      </c>
      <c r="E142" s="2">
        <v>77588388</v>
      </c>
      <c r="F142" s="2">
        <v>73444616</v>
      </c>
      <c r="G142" s="2">
        <v>55829939</v>
      </c>
      <c r="H142" s="3">
        <f>3230916746/73444616</f>
        <v>43.99119938213034</v>
      </c>
      <c r="I142" s="2">
        <v>7196553</v>
      </c>
      <c r="J142" s="2">
        <f t="shared" si="5"/>
        <v>17985050</v>
      </c>
      <c r="K142" s="2">
        <v>30648336</v>
      </c>
      <c r="L142" s="3">
        <f>1340516326/30648336</f>
        <v>43.738633183870078</v>
      </c>
      <c r="M142" s="3">
        <f t="shared" si="4"/>
        <v>41.729860770189063</v>
      </c>
    </row>
    <row r="143" spans="1:13" x14ac:dyDescent="0.25">
      <c r="A143" t="s">
        <v>143</v>
      </c>
      <c r="B143" s="6" t="s">
        <v>302</v>
      </c>
      <c r="C143">
        <v>1990</v>
      </c>
      <c r="D143" t="s">
        <v>301</v>
      </c>
      <c r="E143" s="2">
        <v>117102697</v>
      </c>
      <c r="F143" s="2">
        <v>112808161</v>
      </c>
      <c r="G143" s="2">
        <v>85947156</v>
      </c>
      <c r="H143" s="3">
        <f>5006072505/112808161</f>
        <v>44.376864764243429</v>
      </c>
      <c r="I143" s="2">
        <v>13953290</v>
      </c>
      <c r="J143" s="2">
        <f t="shared" si="5"/>
        <v>25930691</v>
      </c>
      <c r="K143" s="2">
        <v>46063175</v>
      </c>
      <c r="L143" s="3">
        <f>2044867971/46063175</f>
        <v>44.39268398237855</v>
      </c>
      <c r="M143" s="3">
        <f t="shared" si="4"/>
        <v>40.833193797033886</v>
      </c>
    </row>
    <row r="144" spans="1:13" x14ac:dyDescent="0.25">
      <c r="A144" t="s">
        <v>144</v>
      </c>
      <c r="B144" s="6" t="s">
        <v>302</v>
      </c>
      <c r="C144">
        <v>1990</v>
      </c>
      <c r="D144" t="s">
        <v>301</v>
      </c>
      <c r="E144" s="2">
        <v>84222495</v>
      </c>
      <c r="F144" s="2">
        <v>79918774</v>
      </c>
      <c r="G144" s="2">
        <v>59015598</v>
      </c>
      <c r="H144" s="3">
        <f>3487046882/79918774</f>
        <v>43.632387078410389</v>
      </c>
      <c r="I144" s="2">
        <v>8237163</v>
      </c>
      <c r="J144" s="2">
        <f t="shared" si="5"/>
        <v>20293889</v>
      </c>
      <c r="K144" s="2">
        <v>30484546</v>
      </c>
      <c r="L144" s="3">
        <f>1319771307/30484546</f>
        <v>43.293126523845885</v>
      </c>
      <c r="M144" s="3">
        <f t="shared" si="4"/>
        <v>38.14441147458043</v>
      </c>
    </row>
    <row r="145" spans="1:13" x14ac:dyDescent="0.25">
      <c r="A145" t="s">
        <v>145</v>
      </c>
      <c r="B145" s="6" t="s">
        <v>302</v>
      </c>
      <c r="C145">
        <v>1989</v>
      </c>
      <c r="D145" t="s">
        <v>301</v>
      </c>
      <c r="E145" s="2">
        <v>83534874</v>
      </c>
      <c r="F145" s="2">
        <v>80002006</v>
      </c>
      <c r="G145" s="2">
        <v>62092107</v>
      </c>
      <c r="H145" s="3">
        <f>3508557134/80002006</f>
        <v>43.855864489197934</v>
      </c>
      <c r="I145" s="2">
        <v>7450264</v>
      </c>
      <c r="J145" s="2">
        <f t="shared" si="5"/>
        <v>19375394</v>
      </c>
      <c r="K145" s="2">
        <v>35266449</v>
      </c>
      <c r="L145" s="3">
        <f>1547137434/35266449</f>
        <v>43.869952259724251</v>
      </c>
      <c r="M145" s="3">
        <f t="shared" si="4"/>
        <v>44.081955894955932</v>
      </c>
    </row>
    <row r="146" spans="1:13" x14ac:dyDescent="0.25">
      <c r="A146" t="s">
        <v>146</v>
      </c>
      <c r="B146" s="6" t="s">
        <v>302</v>
      </c>
      <c r="C146">
        <v>1990</v>
      </c>
      <c r="D146" t="s">
        <v>301</v>
      </c>
      <c r="E146" s="2">
        <v>92625734</v>
      </c>
      <c r="F146" s="2">
        <v>90780405</v>
      </c>
      <c r="G146" s="2">
        <v>68013163</v>
      </c>
      <c r="H146" s="3">
        <f>4204451109/90780405</f>
        <v>46.314522489737733</v>
      </c>
      <c r="I146" s="2">
        <v>10057692</v>
      </c>
      <c r="J146" s="2">
        <f t="shared" si="5"/>
        <v>20211293</v>
      </c>
      <c r="K146" s="2">
        <v>37744178</v>
      </c>
      <c r="L146" s="3">
        <f>1747283099/37744178</f>
        <v>46.292784518979325</v>
      </c>
      <c r="M146" s="3">
        <f t="shared" si="4"/>
        <v>41.57745055224197</v>
      </c>
    </row>
    <row r="147" spans="1:13" x14ac:dyDescent="0.25">
      <c r="A147" t="s">
        <v>147</v>
      </c>
      <c r="B147" s="6" t="s">
        <v>302</v>
      </c>
      <c r="C147">
        <v>1989</v>
      </c>
      <c r="D147" t="s">
        <v>301</v>
      </c>
      <c r="E147" s="2">
        <v>100699321</v>
      </c>
      <c r="F147" s="2">
        <v>92778824</v>
      </c>
      <c r="G147" s="2">
        <v>70435457</v>
      </c>
      <c r="H147" s="3">
        <f>3878860387/92778824</f>
        <v>41.807604577958436</v>
      </c>
      <c r="I147" s="2">
        <v>10051274</v>
      </c>
      <c r="J147" s="2">
        <f t="shared" si="5"/>
        <v>23290933</v>
      </c>
      <c r="K147" s="2">
        <v>37093250</v>
      </c>
      <c r="L147" s="3">
        <f>1543944846/37093250</f>
        <v>41.623337022234502</v>
      </c>
      <c r="M147" s="3">
        <f t="shared" si="4"/>
        <v>39.980297659302082</v>
      </c>
    </row>
    <row r="148" spans="1:13" x14ac:dyDescent="0.25">
      <c r="A148" t="s">
        <v>148</v>
      </c>
      <c r="B148" s="6" t="s">
        <v>302</v>
      </c>
      <c r="C148">
        <v>1954</v>
      </c>
      <c r="D148" t="s">
        <v>301</v>
      </c>
      <c r="E148" s="2">
        <v>84587099</v>
      </c>
      <c r="F148" s="2">
        <v>79715055</v>
      </c>
      <c r="G148" s="2">
        <v>66392813</v>
      </c>
      <c r="H148" s="3">
        <f>3624998495/79715055</f>
        <v>45.474452661420102</v>
      </c>
      <c r="I148" s="2">
        <v>11966886</v>
      </c>
      <c r="J148" s="2">
        <f t="shared" si="5"/>
        <v>15575302</v>
      </c>
      <c r="K148" s="2">
        <v>38850625</v>
      </c>
      <c r="L148" s="3">
        <f>1779479968/38850625</f>
        <v>45.803123321696887</v>
      </c>
      <c r="M148" s="3">
        <f t="shared" si="4"/>
        <v>48.736872852938504</v>
      </c>
    </row>
    <row r="149" spans="1:13" x14ac:dyDescent="0.25">
      <c r="A149" t="s">
        <v>149</v>
      </c>
      <c r="B149" s="6" t="s">
        <v>302</v>
      </c>
      <c r="C149">
        <v>1951</v>
      </c>
      <c r="D149" t="s">
        <v>301</v>
      </c>
      <c r="E149" s="2">
        <v>91733265</v>
      </c>
      <c r="F149" s="2">
        <v>79837677</v>
      </c>
      <c r="G149" s="2">
        <v>68404584</v>
      </c>
      <c r="H149" s="3">
        <f>3444338156/79837677</f>
        <v>43.141763205359794</v>
      </c>
      <c r="I149" s="2">
        <v>21274775</v>
      </c>
      <c r="J149" s="2">
        <f>G149-I149-K149</f>
        <v>16017047</v>
      </c>
      <c r="K149" s="2">
        <v>31112762</v>
      </c>
      <c r="L149" s="3">
        <f>1336306582/31112762</f>
        <v>42.950432430267682</v>
      </c>
      <c r="M149" s="3">
        <f t="shared" si="4"/>
        <v>38.970024140356692</v>
      </c>
    </row>
    <row r="150" spans="1:13" x14ac:dyDescent="0.25">
      <c r="A150" t="s">
        <v>150</v>
      </c>
      <c r="B150" s="6" t="s">
        <v>302</v>
      </c>
      <c r="C150">
        <v>1957</v>
      </c>
      <c r="D150" t="s">
        <v>301</v>
      </c>
      <c r="E150" s="2">
        <v>90843803</v>
      </c>
      <c r="F150" s="2">
        <v>87935217</v>
      </c>
      <c r="G150" s="2">
        <v>71262909</v>
      </c>
      <c r="H150" s="3">
        <f>3861714706/87935217</f>
        <v>43.915450916553716</v>
      </c>
      <c r="I150" s="2">
        <v>9082299</v>
      </c>
      <c r="J150" s="2">
        <f t="shared" si="5"/>
        <v>16314240</v>
      </c>
      <c r="K150" s="2">
        <v>45866370</v>
      </c>
      <c r="L150" s="3">
        <f>2028708336/45866370</f>
        <v>44.230845737301642</v>
      </c>
      <c r="M150" s="3">
        <f t="shared" si="4"/>
        <v>52.15927311579842</v>
      </c>
    </row>
    <row r="151" spans="1:13" x14ac:dyDescent="0.25">
      <c r="A151" t="s">
        <v>151</v>
      </c>
      <c r="B151" s="6" t="s">
        <v>302</v>
      </c>
      <c r="C151">
        <v>1955</v>
      </c>
      <c r="D151" t="s">
        <v>301</v>
      </c>
      <c r="E151" s="2">
        <v>121307697</v>
      </c>
      <c r="F151" s="2">
        <v>117863428</v>
      </c>
      <c r="G151" s="2">
        <v>99804792</v>
      </c>
      <c r="H151" s="3">
        <f>5255752134/117863428</f>
        <v>44.59188251337811</v>
      </c>
      <c r="I151" s="2">
        <v>18269932</v>
      </c>
      <c r="J151" s="2">
        <f t="shared" si="5"/>
        <v>20466891</v>
      </c>
      <c r="K151" s="2">
        <v>61067969</v>
      </c>
      <c r="L151" s="3">
        <f>2739455456/61067969</f>
        <v>44.859121743511729</v>
      </c>
      <c r="M151" s="3">
        <f t="shared" si="4"/>
        <v>51.812483343009511</v>
      </c>
    </row>
    <row r="152" spans="1:13" x14ac:dyDescent="0.25">
      <c r="A152" t="s">
        <v>152</v>
      </c>
      <c r="B152" s="6" t="s">
        <v>302</v>
      </c>
      <c r="C152">
        <v>1950</v>
      </c>
      <c r="D152" t="s">
        <v>301</v>
      </c>
      <c r="E152" s="2">
        <v>69234003</v>
      </c>
      <c r="F152" s="2">
        <v>64827409</v>
      </c>
      <c r="G152" s="2">
        <v>53156966</v>
      </c>
      <c r="H152" s="3">
        <f>2715863847/64827409</f>
        <v>41.893758965440064</v>
      </c>
      <c r="I152" s="2">
        <v>6807377</v>
      </c>
      <c r="J152" s="2">
        <f t="shared" si="5"/>
        <v>12751540</v>
      </c>
      <c r="K152" s="2">
        <v>33598049</v>
      </c>
      <c r="L152" s="3">
        <f>1406849306/33598049</f>
        <v>41.872946432097891</v>
      </c>
      <c r="M152" s="3">
        <f t="shared" si="4"/>
        <v>51.826919382201439</v>
      </c>
    </row>
    <row r="153" spans="1:13" x14ac:dyDescent="0.25">
      <c r="A153" t="s">
        <v>153</v>
      </c>
      <c r="B153" s="6" t="s">
        <v>302</v>
      </c>
      <c r="C153">
        <v>1945</v>
      </c>
      <c r="D153" t="s">
        <v>301</v>
      </c>
      <c r="E153" s="2">
        <v>75016564</v>
      </c>
      <c r="F153" s="2">
        <v>69894658</v>
      </c>
      <c r="G153" s="2">
        <v>57869249</v>
      </c>
      <c r="H153" s="3">
        <f>2925823814/69894658</f>
        <v>41.860478292919041</v>
      </c>
      <c r="I153" s="2">
        <v>7410248</v>
      </c>
      <c r="J153" s="2">
        <f t="shared" si="5"/>
        <v>13299013</v>
      </c>
      <c r="K153" s="2">
        <v>37159988</v>
      </c>
      <c r="L153" s="3">
        <f>1566508786/37159988</f>
        <v>42.155793645573837</v>
      </c>
      <c r="M153" s="3">
        <f t="shared" si="4"/>
        <v>53.165705453484016</v>
      </c>
    </row>
    <row r="154" spans="1:13" x14ac:dyDescent="0.25">
      <c r="A154" t="s">
        <v>154</v>
      </c>
      <c r="B154" s="6" t="s">
        <v>302</v>
      </c>
      <c r="C154">
        <v>1940</v>
      </c>
      <c r="D154" t="s">
        <v>301</v>
      </c>
      <c r="E154" s="2">
        <v>111237412</v>
      </c>
      <c r="F154" s="2">
        <v>104785493</v>
      </c>
      <c r="G154" s="2">
        <v>87628591</v>
      </c>
      <c r="H154" s="3">
        <f>4735387772/104785493</f>
        <v>45.191253449559092</v>
      </c>
      <c r="I154" s="2">
        <v>22506996</v>
      </c>
      <c r="J154" s="2">
        <f t="shared" si="5"/>
        <v>19305381</v>
      </c>
      <c r="K154" s="2">
        <v>45816214</v>
      </c>
      <c r="L154" s="3">
        <f>2073603727/45816214</f>
        <v>45.259168009822901</v>
      </c>
      <c r="M154" s="3">
        <f t="shared" si="4"/>
        <v>43.723813944359648</v>
      </c>
    </row>
    <row r="155" spans="1:13" x14ac:dyDescent="0.25">
      <c r="A155" t="s">
        <v>155</v>
      </c>
      <c r="B155" s="6" t="s">
        <v>302</v>
      </c>
      <c r="C155">
        <v>1940</v>
      </c>
      <c r="D155" t="s">
        <v>301</v>
      </c>
      <c r="E155" s="2">
        <v>70433203</v>
      </c>
      <c r="F155" s="2">
        <v>59597781</v>
      </c>
      <c r="G155" s="2">
        <v>51208323</v>
      </c>
      <c r="H155" s="3">
        <f>2196873057/59597781</f>
        <v>36.86165860772568</v>
      </c>
      <c r="I155" s="2">
        <v>6696667</v>
      </c>
      <c r="J155" s="2">
        <f t="shared" si="5"/>
        <v>13451683</v>
      </c>
      <c r="K155" s="2">
        <v>31059973</v>
      </c>
      <c r="L155" s="3">
        <f>1151067382/31059973</f>
        <v>37.059510064609519</v>
      </c>
      <c r="M155" s="3">
        <f t="shared" si="4"/>
        <v>52.1159890164367</v>
      </c>
    </row>
    <row r="156" spans="1:13" x14ac:dyDescent="0.25">
      <c r="A156" t="s">
        <v>156</v>
      </c>
      <c r="B156" s="6" t="s">
        <v>302</v>
      </c>
      <c r="C156">
        <v>1952</v>
      </c>
      <c r="D156" t="s">
        <v>301</v>
      </c>
      <c r="E156" s="2">
        <v>100566293</v>
      </c>
      <c r="F156" s="2">
        <v>95284475</v>
      </c>
      <c r="G156" s="2">
        <v>80434524</v>
      </c>
      <c r="H156" s="3">
        <f>4036045039/95284475</f>
        <v>42.357845168376066</v>
      </c>
      <c r="I156" s="2">
        <v>12438413</v>
      </c>
      <c r="J156" s="2">
        <f t="shared" si="5"/>
        <v>18181922</v>
      </c>
      <c r="K156" s="2">
        <v>49814189</v>
      </c>
      <c r="L156" s="3">
        <f>2122372805/49814189</f>
        <v>42.60578858365033</v>
      </c>
      <c r="M156" s="3">
        <f t="shared" si="4"/>
        <v>52.279439016691853</v>
      </c>
    </row>
    <row r="157" spans="1:13" x14ac:dyDescent="0.25">
      <c r="A157" t="s">
        <v>157</v>
      </c>
      <c r="B157" s="6" t="s">
        <v>302</v>
      </c>
      <c r="C157">
        <v>1954</v>
      </c>
      <c r="D157" t="s">
        <v>301</v>
      </c>
      <c r="E157" s="2">
        <v>83766098</v>
      </c>
      <c r="F157" s="2">
        <v>79595302</v>
      </c>
      <c r="G157" s="2">
        <v>63605193</v>
      </c>
      <c r="H157" s="3">
        <f>3628962734/79595302</f>
        <v>45.59267497973687</v>
      </c>
      <c r="I157" s="2">
        <v>11877394</v>
      </c>
      <c r="J157" s="2">
        <f t="shared" si="5"/>
        <v>14945007</v>
      </c>
      <c r="K157" s="2">
        <v>36782792</v>
      </c>
      <c r="L157" s="3">
        <f>1679992878/36782792</f>
        <v>45.673337630270154</v>
      </c>
      <c r="M157" s="3">
        <f t="shared" si="4"/>
        <v>46.212265140975276</v>
      </c>
    </row>
    <row r="158" spans="1:13" x14ac:dyDescent="0.25">
      <c r="A158" t="s">
        <v>158</v>
      </c>
      <c r="B158" s="6" t="s">
        <v>302</v>
      </c>
      <c r="C158">
        <v>1895</v>
      </c>
      <c r="D158" t="s">
        <v>301</v>
      </c>
      <c r="E158" s="2">
        <v>76056824</v>
      </c>
      <c r="F158" s="2">
        <v>69836242</v>
      </c>
      <c r="G158" s="2">
        <v>57852049</v>
      </c>
      <c r="H158" s="3">
        <f>2873625909/69836242</f>
        <v>41.148060472669762</v>
      </c>
      <c r="I158" s="2">
        <v>8130931</v>
      </c>
      <c r="J158" s="2">
        <f t="shared" si="5"/>
        <v>14622101</v>
      </c>
      <c r="K158" s="2">
        <v>35099017</v>
      </c>
      <c r="L158" s="3">
        <f>1446719768/35099017</f>
        <v>41.218241753038271</v>
      </c>
      <c r="M158" s="3">
        <f t="shared" si="4"/>
        <v>50.259028829185858</v>
      </c>
    </row>
    <row r="159" spans="1:13" x14ac:dyDescent="0.25">
      <c r="A159" t="s">
        <v>159</v>
      </c>
      <c r="B159" s="6" t="s">
        <v>302</v>
      </c>
      <c r="C159">
        <v>1895</v>
      </c>
      <c r="D159" t="s">
        <v>301</v>
      </c>
      <c r="E159" s="2">
        <v>90192699</v>
      </c>
      <c r="F159" s="2">
        <v>74633451</v>
      </c>
      <c r="G159" s="2">
        <v>63656137</v>
      </c>
      <c r="H159" s="3">
        <f>2786016169/74633451</f>
        <v>37.329322598254237</v>
      </c>
      <c r="I159" s="2">
        <v>9689021</v>
      </c>
      <c r="J159" s="2">
        <f t="shared" si="5"/>
        <v>16456271</v>
      </c>
      <c r="K159" s="2">
        <v>37510845</v>
      </c>
      <c r="L159" s="3">
        <f>1411151188/37510845</f>
        <v>37.619818695100044</v>
      </c>
      <c r="M159" s="3">
        <f t="shared" si="4"/>
        <v>50.260097178140676</v>
      </c>
    </row>
    <row r="160" spans="1:13" x14ac:dyDescent="0.25">
      <c r="A160" t="s">
        <v>160</v>
      </c>
      <c r="B160" s="6" t="s">
        <v>302</v>
      </c>
      <c r="C160">
        <v>1912</v>
      </c>
      <c r="D160" t="s">
        <v>301</v>
      </c>
      <c r="E160" s="2">
        <v>85939187</v>
      </c>
      <c r="F160" s="2">
        <v>73534852</v>
      </c>
      <c r="G160" s="2">
        <v>63264465</v>
      </c>
      <c r="H160" s="3">
        <f>3000508946/73534852</f>
        <v>40.803902699090223</v>
      </c>
      <c r="I160" s="2">
        <v>13604255</v>
      </c>
      <c r="J160" s="2">
        <f t="shared" si="5"/>
        <v>16335988</v>
      </c>
      <c r="K160" s="2">
        <v>33324222</v>
      </c>
      <c r="L160" s="3">
        <f>1379957160/33324222</f>
        <v>41.410033818643988</v>
      </c>
      <c r="M160" s="3">
        <f t="shared" si="4"/>
        <v>45.317588998479252</v>
      </c>
    </row>
    <row r="161" spans="1:13" x14ac:dyDescent="0.25">
      <c r="A161" t="s">
        <v>161</v>
      </c>
      <c r="B161" s="6" t="s">
        <v>302</v>
      </c>
      <c r="C161">
        <v>1913</v>
      </c>
      <c r="D161" t="s">
        <v>301</v>
      </c>
      <c r="E161" s="2">
        <v>51748601</v>
      </c>
      <c r="F161" s="2">
        <v>47828896</v>
      </c>
      <c r="G161" s="2">
        <v>40139422</v>
      </c>
      <c r="H161" s="3">
        <f>1976648076/47828896</f>
        <v>41.327486965201956</v>
      </c>
      <c r="I161" s="2">
        <v>4099122</v>
      </c>
      <c r="J161" s="2">
        <f t="shared" si="5"/>
        <v>9980887</v>
      </c>
      <c r="K161" s="2">
        <v>26059413</v>
      </c>
      <c r="L161" s="3">
        <f>1079380031/26059413</f>
        <v>41.419967172706464</v>
      </c>
      <c r="M161" s="3">
        <f t="shared" si="4"/>
        <v>54.48466341351471</v>
      </c>
    </row>
    <row r="162" spans="1:13" x14ac:dyDescent="0.25">
      <c r="A162" t="s">
        <v>162</v>
      </c>
      <c r="B162" s="6" t="s">
        <v>302</v>
      </c>
      <c r="C162">
        <v>1914</v>
      </c>
      <c r="D162" t="s">
        <v>301</v>
      </c>
      <c r="E162" s="2">
        <v>113087452</v>
      </c>
      <c r="F162" s="2">
        <v>105027979</v>
      </c>
      <c r="G162" s="2">
        <v>88103873</v>
      </c>
      <c r="H162" s="3">
        <f>4380464551/105027979</f>
        <v>41.707596325356313</v>
      </c>
      <c r="I162" s="2">
        <v>14404701</v>
      </c>
      <c r="J162" s="2">
        <f t="shared" si="5"/>
        <v>19905073</v>
      </c>
      <c r="K162" s="2">
        <v>53794099</v>
      </c>
      <c r="L162" s="3">
        <f>2271027281/53794099</f>
        <v>42.217033526298117</v>
      </c>
      <c r="M162" s="3">
        <f t="shared" si="4"/>
        <v>51.218827127959877</v>
      </c>
    </row>
    <row r="163" spans="1:13" x14ac:dyDescent="0.25">
      <c r="A163" t="s">
        <v>163</v>
      </c>
      <c r="B163" s="6" t="s">
        <v>302</v>
      </c>
      <c r="C163">
        <v>1918</v>
      </c>
      <c r="D163" t="s">
        <v>301</v>
      </c>
      <c r="E163" s="2">
        <v>92081845</v>
      </c>
      <c r="F163" s="2">
        <v>83563508</v>
      </c>
      <c r="G163" s="2">
        <v>72051484</v>
      </c>
      <c r="H163" s="3">
        <f>3786055784/83563508</f>
        <v>45.307525672569895</v>
      </c>
      <c r="I163" s="2">
        <v>23624570</v>
      </c>
      <c r="J163" s="2">
        <f t="shared" si="5"/>
        <v>16777175</v>
      </c>
      <c r="K163" s="2">
        <v>31649739</v>
      </c>
      <c r="L163" s="3">
        <f>1434561336/31649739</f>
        <v>45.326166386395791</v>
      </c>
      <c r="M163" s="3">
        <f t="shared" si="4"/>
        <v>37.875072214536516</v>
      </c>
    </row>
    <row r="164" spans="1:13" x14ac:dyDescent="0.25">
      <c r="A164" t="s">
        <v>164</v>
      </c>
      <c r="B164" s="6" t="s">
        <v>302</v>
      </c>
      <c r="C164">
        <v>1925</v>
      </c>
      <c r="D164" t="s">
        <v>301</v>
      </c>
      <c r="E164" s="2">
        <v>44884665</v>
      </c>
      <c r="F164" s="2">
        <v>39935770</v>
      </c>
      <c r="G164" s="2">
        <v>34033478</v>
      </c>
      <c r="H164" s="3">
        <f>1547530015/39935770</f>
        <v>38.750473948542876</v>
      </c>
      <c r="I164" s="2">
        <v>3793809</v>
      </c>
      <c r="J164" s="2">
        <f t="shared" si="5"/>
        <v>8943071</v>
      </c>
      <c r="K164" s="2">
        <v>21296598</v>
      </c>
      <c r="L164" s="3">
        <f>824764625/21296598</f>
        <v>38.727529392253167</v>
      </c>
      <c r="M164" s="3">
        <f t="shared" si="4"/>
        <v>53.327125031018561</v>
      </c>
    </row>
    <row r="165" spans="1:13" x14ac:dyDescent="0.25">
      <c r="A165" t="s">
        <v>165</v>
      </c>
      <c r="B165" s="6" t="s">
        <v>302</v>
      </c>
      <c r="C165">
        <v>1926</v>
      </c>
      <c r="D165" t="s">
        <v>301</v>
      </c>
      <c r="E165" s="2">
        <v>68807698</v>
      </c>
      <c r="F165" s="2">
        <v>60427314</v>
      </c>
      <c r="G165" s="2">
        <v>50422826</v>
      </c>
      <c r="H165" s="3">
        <f>2381263041/60427314</f>
        <v>39.407064179619169</v>
      </c>
      <c r="I165" s="2">
        <v>6979038</v>
      </c>
      <c r="J165" s="2">
        <f t="shared" si="5"/>
        <v>13561203</v>
      </c>
      <c r="K165" s="2">
        <v>29882585</v>
      </c>
      <c r="L165" s="3">
        <f>1183072532/29882585</f>
        <v>39.590702477714025</v>
      </c>
      <c r="M165" s="3">
        <f t="shared" si="4"/>
        <v>49.452115313283656</v>
      </c>
    </row>
    <row r="166" spans="1:13" x14ac:dyDescent="0.25">
      <c r="A166" t="s">
        <v>166</v>
      </c>
      <c r="B166" s="6" t="s">
        <v>302</v>
      </c>
      <c r="C166">
        <v>1919</v>
      </c>
      <c r="D166" t="s">
        <v>301</v>
      </c>
      <c r="E166" s="2">
        <v>104781711</v>
      </c>
      <c r="F166" s="2">
        <v>92930444</v>
      </c>
      <c r="G166" s="2">
        <v>79515754</v>
      </c>
      <c r="H166" s="3">
        <f>3579509904/92930444</f>
        <v>38.518162078295894</v>
      </c>
      <c r="I166" s="2">
        <v>14190303</v>
      </c>
      <c r="J166" s="2">
        <f t="shared" si="5"/>
        <v>18784671</v>
      </c>
      <c r="K166" s="2">
        <v>46540780</v>
      </c>
      <c r="L166" s="3">
        <f>1808752098/46540780</f>
        <v>38.863811435906314</v>
      </c>
      <c r="M166" s="3">
        <f t="shared" si="4"/>
        <v>50.081305971162692</v>
      </c>
    </row>
    <row r="167" spans="1:13" x14ac:dyDescent="0.25">
      <c r="A167" t="s">
        <v>167</v>
      </c>
      <c r="B167" s="6" t="s">
        <v>302</v>
      </c>
      <c r="C167">
        <v>1922</v>
      </c>
      <c r="D167" t="s">
        <v>301</v>
      </c>
      <c r="E167" s="2">
        <v>79440846</v>
      </c>
      <c r="F167" s="2">
        <v>72701123</v>
      </c>
      <c r="G167" s="2">
        <v>60084831</v>
      </c>
      <c r="H167" s="3">
        <f>2933015559/72701123</f>
        <v>40.343469783816133</v>
      </c>
      <c r="I167" s="2">
        <v>12130401</v>
      </c>
      <c r="J167" s="2">
        <f t="shared" si="5"/>
        <v>14947125</v>
      </c>
      <c r="K167" s="2">
        <v>33007305</v>
      </c>
      <c r="L167" s="3">
        <f>1338795763/33007305</f>
        <v>40.560589936076269</v>
      </c>
      <c r="M167" s="3">
        <f t="shared" si="4"/>
        <v>45.4013688344264</v>
      </c>
    </row>
    <row r="168" spans="1:13" x14ac:dyDescent="0.25">
      <c r="A168" t="s">
        <v>168</v>
      </c>
      <c r="B168" s="6" t="s">
        <v>302</v>
      </c>
      <c r="C168">
        <v>1994</v>
      </c>
      <c r="D168" t="s">
        <v>301</v>
      </c>
      <c r="E168" s="2">
        <v>102833714</v>
      </c>
      <c r="F168" s="2">
        <v>99795282</v>
      </c>
      <c r="G168" s="2">
        <v>79685805</v>
      </c>
      <c r="H168" s="3">
        <f>4739569712/99795282</f>
        <v>47.492923683506397</v>
      </c>
      <c r="I168" s="2">
        <v>21195843</v>
      </c>
      <c r="J168" s="2">
        <f t="shared" si="5"/>
        <v>17686082</v>
      </c>
      <c r="K168" s="2">
        <v>40803880</v>
      </c>
      <c r="L168" s="3">
        <f>1941123131/40803880</f>
        <v>47.572023322291898</v>
      </c>
      <c r="M168" s="3">
        <f t="shared" si="4"/>
        <v>40.887584244714091</v>
      </c>
    </row>
    <row r="169" spans="1:13" x14ac:dyDescent="0.25">
      <c r="A169" t="s">
        <v>169</v>
      </c>
      <c r="B169" s="6" t="s">
        <v>302</v>
      </c>
      <c r="C169">
        <v>1991</v>
      </c>
      <c r="D169" t="s">
        <v>301</v>
      </c>
      <c r="E169" s="2">
        <v>118330977</v>
      </c>
      <c r="F169" s="2">
        <v>115573453</v>
      </c>
      <c r="G169" s="2">
        <v>98087340</v>
      </c>
      <c r="H169" s="3">
        <f>5340237053/115573453</f>
        <v>46.20643334936095</v>
      </c>
      <c r="I169" s="2">
        <v>17759876</v>
      </c>
      <c r="J169" s="2">
        <f t="shared" si="5"/>
        <v>20825704</v>
      </c>
      <c r="K169" s="2">
        <v>59501760</v>
      </c>
      <c r="L169" s="3">
        <f>2764611543/59501760</f>
        <v>46.462685187799487</v>
      </c>
      <c r="M169" s="3">
        <f t="shared" si="4"/>
        <v>51.483933771538346</v>
      </c>
    </row>
    <row r="170" spans="1:13" x14ac:dyDescent="0.25">
      <c r="A170" t="s">
        <v>170</v>
      </c>
      <c r="B170" s="6" t="s">
        <v>302</v>
      </c>
      <c r="C170">
        <v>1982</v>
      </c>
      <c r="D170" t="s">
        <v>301</v>
      </c>
      <c r="E170" s="2">
        <v>78474258</v>
      </c>
      <c r="F170" s="2">
        <v>76019092</v>
      </c>
      <c r="G170" s="2">
        <v>64461321</v>
      </c>
      <c r="H170" s="3">
        <f>3414574736/76019092</f>
        <v>44.91733124094668</v>
      </c>
      <c r="I170" s="2">
        <v>9787452</v>
      </c>
      <c r="J170" s="2">
        <f t="shared" si="5"/>
        <v>13296665</v>
      </c>
      <c r="K170" s="2">
        <v>41377204</v>
      </c>
      <c r="L170" s="3">
        <f>1870430771/41377204</f>
        <v>45.204378019355779</v>
      </c>
      <c r="M170" s="3">
        <f t="shared" si="4"/>
        <v>54.4300160806972</v>
      </c>
    </row>
    <row r="171" spans="1:13" x14ac:dyDescent="0.25">
      <c r="A171" t="s">
        <v>171</v>
      </c>
      <c r="B171" s="6" t="s">
        <v>302</v>
      </c>
      <c r="C171">
        <v>1983</v>
      </c>
      <c r="D171" t="s">
        <v>301</v>
      </c>
      <c r="E171" s="2">
        <v>95852076</v>
      </c>
      <c r="F171" s="2">
        <v>92143153</v>
      </c>
      <c r="G171" s="2">
        <v>78621232</v>
      </c>
      <c r="H171" s="3">
        <f>4306421018/92143153</f>
        <v>46.736202070272114</v>
      </c>
      <c r="I171" s="2">
        <v>15959763</v>
      </c>
      <c r="J171" s="2">
        <f t="shared" si="5"/>
        <v>18417375</v>
      </c>
      <c r="K171" s="2">
        <v>44244094</v>
      </c>
      <c r="L171" s="3">
        <f>2078781829/44244094</f>
        <v>46.984391385661553</v>
      </c>
      <c r="M171" s="3">
        <f t="shared" si="4"/>
        <v>48.016692027024519</v>
      </c>
    </row>
    <row r="172" spans="1:13" x14ac:dyDescent="0.25">
      <c r="A172" t="s">
        <v>172</v>
      </c>
      <c r="B172" s="6" t="s">
        <v>302</v>
      </c>
      <c r="C172">
        <v>1990</v>
      </c>
      <c r="D172" t="s">
        <v>301</v>
      </c>
      <c r="E172" s="2">
        <v>105128850</v>
      </c>
      <c r="F172" s="2">
        <v>103239592</v>
      </c>
      <c r="G172" s="2">
        <v>87359787</v>
      </c>
      <c r="H172" s="3">
        <f>4830610798/103239592</f>
        <v>46.790293378919976</v>
      </c>
      <c r="I172" s="2">
        <v>16669637</v>
      </c>
      <c r="J172" s="2">
        <f t="shared" si="5"/>
        <v>17322585</v>
      </c>
      <c r="K172" s="2">
        <v>53367565</v>
      </c>
      <c r="L172" s="3">
        <f>2512612752/53367565</f>
        <v>47.081270280928123</v>
      </c>
      <c r="M172" s="3">
        <f t="shared" si="4"/>
        <v>51.692925132830823</v>
      </c>
    </row>
    <row r="173" spans="1:13" x14ac:dyDescent="0.25">
      <c r="A173" t="s">
        <v>173</v>
      </c>
      <c r="B173" s="6" t="s">
        <v>302</v>
      </c>
      <c r="C173">
        <v>1983</v>
      </c>
      <c r="D173" t="s">
        <v>301</v>
      </c>
      <c r="E173" s="2">
        <v>85516040</v>
      </c>
      <c r="F173" s="2">
        <v>82938728</v>
      </c>
      <c r="G173" s="2">
        <v>70155335</v>
      </c>
      <c r="H173" s="3">
        <f>3785659654/82938728</f>
        <v>45.64405248655369</v>
      </c>
      <c r="I173" s="2">
        <v>8921727</v>
      </c>
      <c r="J173" s="2">
        <f t="shared" si="5"/>
        <v>14989924</v>
      </c>
      <c r="K173" s="2">
        <v>46243684</v>
      </c>
      <c r="L173" s="3">
        <f>2125744545/46243684</f>
        <v>45.968321749625311</v>
      </c>
      <c r="M173" s="3">
        <f t="shared" si="4"/>
        <v>55.75644227386752</v>
      </c>
    </row>
    <row r="174" spans="1:13" x14ac:dyDescent="0.25">
      <c r="A174" t="s">
        <v>174</v>
      </c>
      <c r="B174" s="6" t="s">
        <v>302</v>
      </c>
      <c r="C174">
        <v>1991</v>
      </c>
      <c r="D174" t="s">
        <v>301</v>
      </c>
      <c r="E174" s="2">
        <v>92928711</v>
      </c>
      <c r="F174" s="2">
        <v>91331004</v>
      </c>
      <c r="G174" s="2">
        <v>77452848</v>
      </c>
      <c r="H174" s="3">
        <f>4267220372/91331004</f>
        <v>46.722582530681478</v>
      </c>
      <c r="I174" s="2">
        <v>11932436</v>
      </c>
      <c r="J174" s="2">
        <f t="shared" si="5"/>
        <v>17385346</v>
      </c>
      <c r="K174" s="2">
        <v>48135066</v>
      </c>
      <c r="L174" s="3">
        <f>2258164087/48135066</f>
        <v>46.913077609574692</v>
      </c>
      <c r="M174" s="3">
        <f t="shared" si="4"/>
        <v>52.703971150913873</v>
      </c>
    </row>
    <row r="175" spans="1:13" x14ac:dyDescent="0.25">
      <c r="A175" t="s">
        <v>175</v>
      </c>
      <c r="B175" s="6" t="s">
        <v>302</v>
      </c>
      <c r="C175">
        <v>2000</v>
      </c>
      <c r="D175" t="s">
        <v>301</v>
      </c>
      <c r="E175" s="2">
        <v>100438832</v>
      </c>
      <c r="F175" s="2">
        <v>98586778</v>
      </c>
      <c r="G175" s="2">
        <v>82299465</v>
      </c>
      <c r="H175" s="3">
        <f>4635138983/98586778</f>
        <v>47.015827852696432</v>
      </c>
      <c r="I175" s="2">
        <v>11640755</v>
      </c>
      <c r="J175" s="2">
        <f t="shared" si="5"/>
        <v>17890614</v>
      </c>
      <c r="K175" s="2">
        <v>52768096</v>
      </c>
      <c r="L175" s="3">
        <f>2496263792/52768096</f>
        <v>47.306307811447283</v>
      </c>
      <c r="M175" s="3">
        <f t="shared" si="4"/>
        <v>53.524516238881446</v>
      </c>
    </row>
    <row r="176" spans="1:13" x14ac:dyDescent="0.25">
      <c r="A176" t="s">
        <v>176</v>
      </c>
      <c r="B176" s="6" t="s">
        <v>302</v>
      </c>
      <c r="C176">
        <v>1999</v>
      </c>
      <c r="D176" t="s">
        <v>301</v>
      </c>
      <c r="E176" s="2">
        <v>107325467</v>
      </c>
      <c r="F176" s="2">
        <v>105855147</v>
      </c>
      <c r="G176" s="2">
        <v>89288074</v>
      </c>
      <c r="H176" s="3">
        <f>5044863387/105855147</f>
        <v>47.658177518755892</v>
      </c>
      <c r="I176" s="2">
        <v>13763630</v>
      </c>
      <c r="J176" s="2">
        <f t="shared" si="5"/>
        <v>18822206</v>
      </c>
      <c r="K176" s="2">
        <v>56702238</v>
      </c>
      <c r="L176" s="3">
        <f>2716671395/56702238</f>
        <v>47.911184652006149</v>
      </c>
      <c r="M176" s="3">
        <f t="shared" si="4"/>
        <v>53.565877150971218</v>
      </c>
    </row>
    <row r="177" spans="1:13" x14ac:dyDescent="0.25">
      <c r="A177" t="s">
        <v>177</v>
      </c>
      <c r="B177" s="6" t="s">
        <v>302</v>
      </c>
      <c r="C177">
        <v>1999</v>
      </c>
      <c r="D177" t="s">
        <v>301</v>
      </c>
      <c r="E177" s="2">
        <v>129145241</v>
      </c>
      <c r="F177" s="2">
        <v>124157258</v>
      </c>
      <c r="G177" s="2">
        <v>105544955</v>
      </c>
      <c r="H177" s="3">
        <f>5818839097/124157258</f>
        <v>46.86668496657682</v>
      </c>
      <c r="I177" s="2">
        <v>29974795</v>
      </c>
      <c r="J177" s="2">
        <f t="shared" si="5"/>
        <v>22197064</v>
      </c>
      <c r="K177" s="2">
        <v>53373096</v>
      </c>
      <c r="L177" s="3">
        <f>2507158252/53373096</f>
        <v>46.974195613460381</v>
      </c>
      <c r="M177" s="3">
        <f t="shared" si="4"/>
        <v>42.988301175272412</v>
      </c>
    </row>
  </sheetData>
  <mergeCells count="1">
    <mergeCell ref="A2:I2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B860DC2DA07A43974162769F87F123" ma:contentTypeVersion="10" ma:contentTypeDescription="Opret et nyt dokument." ma:contentTypeScope="" ma:versionID="0ea24ebbcbacc280424104f5d7bffa23">
  <xsd:schema xmlns:xsd="http://www.w3.org/2001/XMLSchema" xmlns:xs="http://www.w3.org/2001/XMLSchema" xmlns:p="http://schemas.microsoft.com/office/2006/metadata/properties" xmlns:ns3="359edc0c-f8a7-435b-bc6a-a3e48b9caec1" targetNamespace="http://schemas.microsoft.com/office/2006/metadata/properties" ma:root="true" ma:fieldsID="85d56c13c48c81c3195c96ca19d15f65" ns3:_="">
    <xsd:import namespace="359edc0c-f8a7-435b-bc6a-a3e48b9cae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edc0c-f8a7-435b-bc6a-a3e48b9ca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B40A7-6EFA-45FF-A93B-81BCB5CEE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A01B2E-A89F-4557-AFDA-44D6F3592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edc0c-f8a7-435b-bc6a-a3e48b9ca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0EA84-5BBC-46A6-BEFE-992D4BFB6F0D}">
  <ds:schemaRefs>
    <ds:schemaRef ds:uri="http://schemas.microsoft.com/office/2006/documentManagement/types"/>
    <ds:schemaRef ds:uri="359edc0c-f8a7-435b-bc6a-a3e48b9caec1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Kristian Reinholdt Jensen</dc:creator>
  <cp:lastModifiedBy>Hypšová Dana</cp:lastModifiedBy>
  <dcterms:created xsi:type="dcterms:W3CDTF">2023-12-19T07:01:53Z</dcterms:created>
  <dcterms:modified xsi:type="dcterms:W3CDTF">2026-02-26T13:33:00Z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0x010100C7B860DC2DA07A43974162769F87F123</vt:lpwstr>
  </property>
</Properties>
</file>